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3° MEDIÇÃO\PLANILHA\"/>
    </mc:Choice>
  </mc:AlternateContent>
  <xr:revisionPtr revIDLastSave="0" documentId="13_ncr:1_{E324CDFA-859E-4F2D-B738-196990805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3° MEDIÇÃO" sheetId="2" r:id="rId1"/>
    <sheet name="FATURAMENTO" sheetId="3" r:id="rId2"/>
  </sheets>
  <definedNames>
    <definedName name="_xlnm._FilterDatabase" localSheetId="0" hidden="1">'13° MEDIÇÃO'!$A$12:$N$309</definedName>
    <definedName name="_xlnm.Print_Area" localSheetId="0">'13° MEDIÇÃO'!$A$1:$N$317</definedName>
    <definedName name="Excel_BuiltIn_Criteria">'13° MEDIÇÃO'!$F:$F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0" i="2" l="1"/>
  <c r="Y183" i="2"/>
  <c r="H304" i="2"/>
  <c r="W80" i="2"/>
  <c r="V80" i="2"/>
  <c r="AC80" i="2"/>
  <c r="P78" i="2"/>
  <c r="AD80" i="2"/>
  <c r="J121" i="2"/>
  <c r="J119" i="2"/>
  <c r="J133" i="2"/>
  <c r="J105" i="2" l="1"/>
  <c r="J84" i="2" l="1"/>
  <c r="J83" i="2"/>
  <c r="J82" i="2"/>
  <c r="J81" i="2"/>
  <c r="J44" i="2" l="1"/>
  <c r="J97" i="2" l="1"/>
  <c r="J85" i="2"/>
  <c r="J137" i="2" l="1"/>
  <c r="K43" i="2" l="1"/>
  <c r="K154" i="2"/>
  <c r="K157" i="2"/>
  <c r="K158" i="2"/>
  <c r="K159" i="2"/>
  <c r="K160" i="2"/>
  <c r="K161" i="2"/>
  <c r="K162" i="2"/>
  <c r="K163" i="2"/>
  <c r="K164" i="2"/>
  <c r="K165" i="2"/>
  <c r="K166" i="2"/>
  <c r="Q113" i="2" l="1"/>
  <c r="P43" i="2" l="1"/>
  <c r="P122" i="2"/>
  <c r="Q122" i="2" s="1"/>
  <c r="Q43" i="2" l="1"/>
  <c r="S41" i="2" l="1"/>
  <c r="H41" i="2" s="1"/>
  <c r="P169" i="2" l="1"/>
  <c r="Q169" i="2"/>
  <c r="P123" i="2" l="1"/>
  <c r="Q123" i="2" l="1"/>
  <c r="Q132" i="2" l="1"/>
  <c r="Q184" i="2" l="1"/>
  <c r="Q183" i="2"/>
  <c r="P180" i="2"/>
  <c r="Q180" i="2" s="1"/>
  <c r="P178" i="2"/>
  <c r="Q178" i="2" s="1"/>
  <c r="Q177" i="2"/>
  <c r="P176" i="2"/>
  <c r="Q176" i="2" s="1"/>
  <c r="Q175" i="2"/>
  <c r="Q174" i="2"/>
  <c r="P170" i="2"/>
  <c r="Q170" i="2" s="1"/>
  <c r="Q167" i="2"/>
  <c r="Q165" i="2"/>
  <c r="P161" i="2"/>
  <c r="Q161" i="2" s="1"/>
  <c r="P160" i="2"/>
  <c r="Q160" i="2" s="1"/>
  <c r="Q159" i="2"/>
  <c r="Q156" i="2"/>
  <c r="Q155" i="2"/>
  <c r="Q153" i="2"/>
  <c r="P152" i="2"/>
  <c r="Q152" i="2" s="1"/>
  <c r="Q75" i="2"/>
  <c r="Q42" i="2" l="1"/>
  <c r="Q40" i="2"/>
  <c r="Q39" i="2"/>
  <c r="Q38" i="2"/>
  <c r="Q37" i="2"/>
  <c r="Q35" i="2"/>
  <c r="S13" i="2" l="1"/>
  <c r="S14" i="2"/>
  <c r="S15" i="2"/>
  <c r="S16" i="2"/>
  <c r="H16" i="2" s="1"/>
  <c r="S17" i="2"/>
  <c r="H17" i="2" s="1"/>
  <c r="S18" i="2"/>
  <c r="H18" i="2" s="1"/>
  <c r="S19" i="2"/>
  <c r="S20" i="2"/>
  <c r="H20" i="2" s="1"/>
  <c r="S21" i="2"/>
  <c r="H21" i="2" s="1"/>
  <c r="S22" i="2"/>
  <c r="H22" i="2" s="1"/>
  <c r="S23" i="2"/>
  <c r="H23" i="2" s="1"/>
  <c r="S24" i="2"/>
  <c r="H24" i="2" s="1"/>
  <c r="S25" i="2"/>
  <c r="S26" i="2"/>
  <c r="S27" i="2"/>
  <c r="H27" i="2" s="1"/>
  <c r="S28" i="2"/>
  <c r="H28" i="2" s="1"/>
  <c r="S29" i="2"/>
  <c r="H29" i="2" s="1"/>
  <c r="S30" i="2"/>
  <c r="H30" i="2" s="1"/>
  <c r="S31" i="2"/>
  <c r="H31" i="2" s="1"/>
  <c r="S32" i="2"/>
  <c r="H32" i="2" s="1"/>
  <c r="S33" i="2"/>
  <c r="S34" i="2"/>
  <c r="S35" i="2"/>
  <c r="S36" i="2"/>
  <c r="H36" i="2" s="1"/>
  <c r="S37" i="2"/>
  <c r="H37" i="2" s="1"/>
  <c r="S38" i="2"/>
  <c r="H38" i="2" s="1"/>
  <c r="S39" i="2"/>
  <c r="H39" i="2" s="1"/>
  <c r="S40" i="2"/>
  <c r="H40" i="2" s="1"/>
  <c r="S42" i="2"/>
  <c r="H42" i="2" s="1"/>
  <c r="S43" i="2"/>
  <c r="H43" i="2" s="1"/>
  <c r="S44" i="2"/>
  <c r="H44" i="2" s="1"/>
  <c r="S45" i="2"/>
  <c r="H45" i="2" s="1"/>
  <c r="S46" i="2"/>
  <c r="H46" i="2" s="1"/>
  <c r="S47" i="2"/>
  <c r="H47" i="2" s="1"/>
  <c r="S48" i="2"/>
  <c r="H48" i="2" s="1"/>
  <c r="S49" i="2"/>
  <c r="H49" i="2" s="1"/>
  <c r="S50" i="2"/>
  <c r="H50" i="2" s="1"/>
  <c r="S51" i="2"/>
  <c r="H51" i="2" s="1"/>
  <c r="S52" i="2"/>
  <c r="H52" i="2" s="1"/>
  <c r="S53" i="2"/>
  <c r="H53" i="2" s="1"/>
  <c r="S54" i="2"/>
  <c r="H54" i="2" s="1"/>
  <c r="S55" i="2"/>
  <c r="H55" i="2" s="1"/>
  <c r="S56" i="2"/>
  <c r="H56" i="2" s="1"/>
  <c r="S57" i="2"/>
  <c r="H57" i="2" s="1"/>
  <c r="S58" i="2"/>
  <c r="H58" i="2" s="1"/>
  <c r="S59" i="2"/>
  <c r="H59" i="2" s="1"/>
  <c r="S60" i="2"/>
  <c r="H60" i="2" s="1"/>
  <c r="S61" i="2"/>
  <c r="H61" i="2" s="1"/>
  <c r="S62" i="2"/>
  <c r="H62" i="2" s="1"/>
  <c r="S63" i="2"/>
  <c r="H63" i="2" s="1"/>
  <c r="S64" i="2"/>
  <c r="H64" i="2" s="1"/>
  <c r="S65" i="2"/>
  <c r="H65" i="2" s="1"/>
  <c r="S66" i="2"/>
  <c r="S67" i="2"/>
  <c r="S68" i="2"/>
  <c r="S69" i="2"/>
  <c r="H69" i="2" s="1"/>
  <c r="S70" i="2"/>
  <c r="S71" i="2"/>
  <c r="H71" i="2" s="1"/>
  <c r="S72" i="2"/>
  <c r="H72" i="2" s="1"/>
  <c r="S73" i="2"/>
  <c r="H73" i="2" s="1"/>
  <c r="S74" i="2"/>
  <c r="S75" i="2"/>
  <c r="S76" i="2"/>
  <c r="H76" i="2" s="1"/>
  <c r="S77" i="2"/>
  <c r="H77" i="2" s="1"/>
  <c r="S78" i="2"/>
  <c r="H78" i="2" s="1"/>
  <c r="S80" i="2"/>
  <c r="H80" i="2" s="1"/>
  <c r="S81" i="2"/>
  <c r="H81" i="2" s="1"/>
  <c r="S82" i="2"/>
  <c r="H82" i="2" s="1"/>
  <c r="S83" i="2"/>
  <c r="H83" i="2" s="1"/>
  <c r="S84" i="2"/>
  <c r="H84" i="2" s="1"/>
  <c r="S85" i="2"/>
  <c r="H85" i="2" s="1"/>
  <c r="S86" i="2"/>
  <c r="H86" i="2" s="1"/>
  <c r="S87" i="2"/>
  <c r="H87" i="2" s="1"/>
  <c r="S88" i="2"/>
  <c r="H88" i="2" s="1"/>
  <c r="S89" i="2"/>
  <c r="H89" i="2" s="1"/>
  <c r="S90" i="2"/>
  <c r="H90" i="2" s="1"/>
  <c r="S91" i="2"/>
  <c r="H91" i="2" s="1"/>
  <c r="S92" i="2"/>
  <c r="H92" i="2" s="1"/>
  <c r="S93" i="2"/>
  <c r="H93" i="2" s="1"/>
  <c r="S94" i="2"/>
  <c r="H94" i="2" s="1"/>
  <c r="S95" i="2"/>
  <c r="H95" i="2" s="1"/>
  <c r="S96" i="2"/>
  <c r="H96" i="2" s="1"/>
  <c r="S97" i="2"/>
  <c r="H97" i="2" s="1"/>
  <c r="S98" i="2"/>
  <c r="H98" i="2" s="1"/>
  <c r="S99" i="2"/>
  <c r="H99" i="2" s="1"/>
  <c r="S100" i="2"/>
  <c r="H100" i="2" s="1"/>
  <c r="S101" i="2"/>
  <c r="H101" i="2" s="1"/>
  <c r="S102" i="2"/>
  <c r="H102" i="2" s="1"/>
  <c r="S103" i="2"/>
  <c r="H103" i="2" s="1"/>
  <c r="S104" i="2"/>
  <c r="H104" i="2" s="1"/>
  <c r="S105" i="2"/>
  <c r="S106" i="2"/>
  <c r="H106" i="2" s="1"/>
  <c r="S107" i="2"/>
  <c r="H107" i="2" s="1"/>
  <c r="S108" i="2"/>
  <c r="S109" i="2"/>
  <c r="S110" i="2"/>
  <c r="S111" i="2"/>
  <c r="H111" i="2" s="1"/>
  <c r="S112" i="2"/>
  <c r="H112" i="2" s="1"/>
  <c r="S113" i="2"/>
  <c r="H113" i="2" s="1"/>
  <c r="S114" i="2"/>
  <c r="H114" i="2" s="1"/>
  <c r="S115" i="2"/>
  <c r="H115" i="2" s="1"/>
  <c r="S116" i="2"/>
  <c r="H116" i="2" s="1"/>
  <c r="S117" i="2"/>
  <c r="H117" i="2" s="1"/>
  <c r="S118" i="2"/>
  <c r="H118" i="2" s="1"/>
  <c r="S119" i="2"/>
  <c r="H119" i="2" s="1"/>
  <c r="S120" i="2"/>
  <c r="H120" i="2" s="1"/>
  <c r="S121" i="2"/>
  <c r="H121" i="2" s="1"/>
  <c r="S122" i="2"/>
  <c r="H122" i="2" s="1"/>
  <c r="S123" i="2"/>
  <c r="H123" i="2" s="1"/>
  <c r="S124" i="2"/>
  <c r="H124" i="2" s="1"/>
  <c r="S125" i="2"/>
  <c r="H125" i="2" s="1"/>
  <c r="S126" i="2"/>
  <c r="H126" i="2" s="1"/>
  <c r="S127" i="2"/>
  <c r="H127" i="2" s="1"/>
  <c r="S128" i="2"/>
  <c r="H128" i="2" s="1"/>
  <c r="S129" i="2"/>
  <c r="H129" i="2" s="1"/>
  <c r="S130" i="2"/>
  <c r="H130" i="2" s="1"/>
  <c r="S131" i="2"/>
  <c r="H131" i="2" s="1"/>
  <c r="S132" i="2"/>
  <c r="H132" i="2" s="1"/>
  <c r="S133" i="2"/>
  <c r="H133" i="2" s="1"/>
  <c r="S134" i="2"/>
  <c r="H134" i="2" s="1"/>
  <c r="S135" i="2"/>
  <c r="H135" i="2" s="1"/>
  <c r="S136" i="2"/>
  <c r="H136" i="2" s="1"/>
  <c r="S137" i="2"/>
  <c r="H137" i="2" s="1"/>
  <c r="S138" i="2"/>
  <c r="H138" i="2" s="1"/>
  <c r="S139" i="2"/>
  <c r="H139" i="2" s="1"/>
  <c r="S140" i="2"/>
  <c r="H140" i="2" s="1"/>
  <c r="S141" i="2"/>
  <c r="H141" i="2" s="1"/>
  <c r="S142" i="2"/>
  <c r="H142" i="2" s="1"/>
  <c r="S143" i="2"/>
  <c r="H143" i="2" s="1"/>
  <c r="S144" i="2"/>
  <c r="H144" i="2" s="1"/>
  <c r="S145" i="2"/>
  <c r="H145" i="2" s="1"/>
  <c r="S146" i="2"/>
  <c r="H146" i="2" s="1"/>
  <c r="S147" i="2"/>
  <c r="H147" i="2" s="1"/>
  <c r="S148" i="2"/>
  <c r="H148" i="2" s="1"/>
  <c r="S149" i="2"/>
  <c r="H149" i="2" s="1"/>
  <c r="S150" i="2"/>
  <c r="S151" i="2"/>
  <c r="S152" i="2"/>
  <c r="S153" i="2"/>
  <c r="H153" i="2" s="1"/>
  <c r="S154" i="2"/>
  <c r="H154" i="2" s="1"/>
  <c r="S155" i="2"/>
  <c r="H155" i="2" s="1"/>
  <c r="S156" i="2"/>
  <c r="H156" i="2" s="1"/>
  <c r="S157" i="2"/>
  <c r="H157" i="2" s="1"/>
  <c r="S158" i="2"/>
  <c r="H158" i="2" s="1"/>
  <c r="S159" i="2"/>
  <c r="H159" i="2" s="1"/>
  <c r="S160" i="2"/>
  <c r="H160" i="2" s="1"/>
  <c r="S161" i="2"/>
  <c r="H161" i="2" s="1"/>
  <c r="S162" i="2"/>
  <c r="H162" i="2" s="1"/>
  <c r="S163" i="2"/>
  <c r="H163" i="2" s="1"/>
  <c r="S164" i="2"/>
  <c r="H164" i="2" s="1"/>
  <c r="S165" i="2"/>
  <c r="H165" i="2" s="1"/>
  <c r="S166" i="2"/>
  <c r="H166" i="2" s="1"/>
  <c r="S167" i="2"/>
  <c r="H167" i="2" s="1"/>
  <c r="S168" i="2"/>
  <c r="H168" i="2" s="1"/>
  <c r="S169" i="2"/>
  <c r="H169" i="2" s="1"/>
  <c r="S170" i="2"/>
  <c r="H170" i="2" s="1"/>
  <c r="S171" i="2"/>
  <c r="S172" i="2"/>
  <c r="S173" i="2"/>
  <c r="S174" i="2"/>
  <c r="H174" i="2" s="1"/>
  <c r="S175" i="2"/>
  <c r="H175" i="2" s="1"/>
  <c r="S176" i="2"/>
  <c r="H176" i="2" s="1"/>
  <c r="S177" i="2"/>
  <c r="H177" i="2" s="1"/>
  <c r="S178" i="2"/>
  <c r="H178" i="2" s="1"/>
  <c r="S179" i="2"/>
  <c r="H179" i="2" s="1"/>
  <c r="S180" i="2"/>
  <c r="H180" i="2" s="1"/>
  <c r="S181" i="2"/>
  <c r="H181" i="2" s="1"/>
  <c r="S182" i="2"/>
  <c r="H182" i="2" s="1"/>
  <c r="S183" i="2"/>
  <c r="H183" i="2" s="1"/>
  <c r="S184" i="2"/>
  <c r="H184" i="2" s="1"/>
  <c r="S185" i="2"/>
  <c r="S186" i="2"/>
  <c r="S187" i="2"/>
  <c r="S188" i="2"/>
  <c r="S189" i="2"/>
  <c r="H189" i="2" s="1"/>
  <c r="S190" i="2"/>
  <c r="H190" i="2" s="1"/>
  <c r="S191" i="2"/>
  <c r="H191" i="2" s="1"/>
  <c r="S192" i="2"/>
  <c r="H192" i="2" s="1"/>
  <c r="S193" i="2"/>
  <c r="S194" i="2"/>
  <c r="S195" i="2"/>
  <c r="H195" i="2" s="1"/>
  <c r="S196" i="2"/>
  <c r="H196" i="2" s="1"/>
  <c r="S197" i="2"/>
  <c r="H197" i="2" s="1"/>
  <c r="S198" i="2"/>
  <c r="H198" i="2" s="1"/>
  <c r="S199" i="2"/>
  <c r="H199" i="2" s="1"/>
  <c r="S200" i="2"/>
  <c r="H200" i="2" s="1"/>
  <c r="S201" i="2"/>
  <c r="H201" i="2" s="1"/>
  <c r="S202" i="2"/>
  <c r="H202" i="2" s="1"/>
  <c r="S203" i="2"/>
  <c r="H203" i="2" s="1"/>
  <c r="S204" i="2"/>
  <c r="H204" i="2" s="1"/>
  <c r="S205" i="2"/>
  <c r="S206" i="2"/>
  <c r="S207" i="2"/>
  <c r="H207" i="2" s="1"/>
  <c r="S208" i="2"/>
  <c r="H208" i="2" s="1"/>
  <c r="S209" i="2"/>
  <c r="H209" i="2" s="1"/>
  <c r="S210" i="2"/>
  <c r="H210" i="2" s="1"/>
  <c r="S211" i="2"/>
  <c r="H211" i="2" s="1"/>
  <c r="S212" i="2"/>
  <c r="H212" i="2" s="1"/>
  <c r="S213" i="2"/>
  <c r="S214" i="2"/>
  <c r="S215" i="2"/>
  <c r="S216" i="2"/>
  <c r="H216" i="2" s="1"/>
  <c r="S217" i="2"/>
  <c r="H217" i="2" s="1"/>
  <c r="S218" i="2"/>
  <c r="H218" i="2" s="1"/>
  <c r="S219" i="2"/>
  <c r="H219" i="2" s="1"/>
  <c r="S220" i="2"/>
  <c r="H220" i="2" s="1"/>
  <c r="S221" i="2"/>
  <c r="H221" i="2" s="1"/>
  <c r="S222" i="2"/>
  <c r="H222" i="2" s="1"/>
  <c r="S223" i="2"/>
  <c r="H223" i="2" s="1"/>
  <c r="S224" i="2"/>
  <c r="H224" i="2" s="1"/>
  <c r="S225" i="2"/>
  <c r="H225" i="2" s="1"/>
  <c r="S226" i="2"/>
  <c r="H226" i="2" s="1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H299" i="2" s="1"/>
  <c r="S300" i="2"/>
  <c r="S301" i="2"/>
  <c r="S302" i="2"/>
  <c r="S303" i="2"/>
  <c r="S304" i="2"/>
  <c r="S305" i="2"/>
  <c r="S306" i="2"/>
  <c r="S307" i="2"/>
  <c r="S12" i="2"/>
  <c r="H19" i="2" l="1"/>
  <c r="I19" i="2" s="1"/>
  <c r="H74" i="2"/>
  <c r="I74" i="2" s="1"/>
  <c r="H70" i="2"/>
  <c r="I70" i="2" s="1"/>
  <c r="L178" i="2"/>
  <c r="L177" i="2"/>
  <c r="L43" i="2"/>
  <c r="K182" i="2"/>
  <c r="K30" i="2" l="1"/>
  <c r="N302" i="2" l="1"/>
  <c r="I27" i="2" l="1"/>
  <c r="K16" i="2"/>
  <c r="K17" i="2"/>
  <c r="K18" i="2"/>
  <c r="K19" i="2"/>
  <c r="K20" i="2"/>
  <c r="K21" i="2"/>
  <c r="K22" i="2"/>
  <c r="K23" i="2"/>
  <c r="K24" i="2"/>
  <c r="K27" i="2"/>
  <c r="K28" i="2"/>
  <c r="K29" i="2"/>
  <c r="K31" i="2"/>
  <c r="K32" i="2"/>
  <c r="K35" i="2"/>
  <c r="K36" i="2"/>
  <c r="K37" i="2"/>
  <c r="K38" i="2"/>
  <c r="K39" i="2"/>
  <c r="K40" i="2"/>
  <c r="K41" i="2"/>
  <c r="K42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8" i="2"/>
  <c r="K69" i="2"/>
  <c r="K70" i="2"/>
  <c r="K71" i="2"/>
  <c r="K72" i="2"/>
  <c r="K73" i="2"/>
  <c r="K74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6" i="2"/>
  <c r="K107" i="2"/>
  <c r="K111" i="2"/>
  <c r="K112" i="2"/>
  <c r="K113" i="2"/>
  <c r="K114" i="2"/>
  <c r="K115" i="2"/>
  <c r="K116" i="2"/>
  <c r="K117" i="2"/>
  <c r="K118" i="2"/>
  <c r="K119" i="2"/>
  <c r="K120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2" i="2"/>
  <c r="K153" i="2"/>
  <c r="K167" i="2"/>
  <c r="K168" i="2"/>
  <c r="K169" i="2"/>
  <c r="K170" i="2"/>
  <c r="K173" i="2"/>
  <c r="K174" i="2"/>
  <c r="K175" i="2"/>
  <c r="K176" i="2"/>
  <c r="K177" i="2"/>
  <c r="K178" i="2"/>
  <c r="K179" i="2"/>
  <c r="K180" i="2"/>
  <c r="K181" i="2"/>
  <c r="K183" i="2"/>
  <c r="K184" i="2"/>
  <c r="K188" i="2"/>
  <c r="K189" i="2"/>
  <c r="K190" i="2"/>
  <c r="K191" i="2"/>
  <c r="K192" i="2"/>
  <c r="K194" i="2"/>
  <c r="K195" i="2"/>
  <c r="K196" i="2"/>
  <c r="K197" i="2"/>
  <c r="K198" i="2"/>
  <c r="K199" i="2"/>
  <c r="K200" i="2"/>
  <c r="K201" i="2"/>
  <c r="K202" i="2"/>
  <c r="K203" i="2"/>
  <c r="K204" i="2"/>
  <c r="K206" i="2"/>
  <c r="K207" i="2"/>
  <c r="K208" i="2"/>
  <c r="K209" i="2"/>
  <c r="K210" i="2"/>
  <c r="K211" i="2"/>
  <c r="K212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8" i="2"/>
  <c r="K229" i="2"/>
  <c r="K232" i="2"/>
  <c r="K235" i="2"/>
  <c r="K236" i="2"/>
  <c r="K237" i="2"/>
  <c r="K238" i="2"/>
  <c r="K239" i="2"/>
  <c r="K240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2" i="2"/>
  <c r="K263" i="2"/>
  <c r="K264" i="2"/>
  <c r="K265" i="2"/>
  <c r="K266" i="2"/>
  <c r="K267" i="2"/>
  <c r="K268" i="2"/>
  <c r="K269" i="2"/>
  <c r="K271" i="2"/>
  <c r="K272" i="2"/>
  <c r="K273" i="2"/>
  <c r="K274" i="2"/>
  <c r="K275" i="2"/>
  <c r="K276" i="2"/>
  <c r="K277" i="2"/>
  <c r="K279" i="2"/>
  <c r="K280" i="2"/>
  <c r="K281" i="2"/>
  <c r="K282" i="2"/>
  <c r="K283" i="2"/>
  <c r="K284" i="2"/>
  <c r="K285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15" i="2"/>
  <c r="K171" i="2" l="1"/>
  <c r="K303" i="2"/>
  <c r="K230" i="2"/>
  <c r="K213" i="2"/>
  <c r="K185" i="2"/>
  <c r="K66" i="2"/>
  <c r="K25" i="2"/>
  <c r="K33" i="2"/>
  <c r="I304" i="2"/>
  <c r="L304" i="2"/>
  <c r="L27" i="2"/>
  <c r="K12" i="2"/>
  <c r="N303" i="2"/>
  <c r="B4" i="3" l="1"/>
  <c r="C4" i="3" s="1"/>
  <c r="D4" i="3" s="1"/>
  <c r="G153" i="2"/>
  <c r="G154" i="2"/>
  <c r="G155" i="2"/>
  <c r="G156" i="2"/>
  <c r="G157" i="2"/>
  <c r="G152" i="2"/>
  <c r="G110" i="2"/>
  <c r="G287" i="2"/>
  <c r="G288" i="2"/>
  <c r="G289" i="2"/>
  <c r="G290" i="2"/>
  <c r="G271" i="2"/>
  <c r="G272" i="2"/>
  <c r="E4" i="3" l="1"/>
  <c r="F4" i="3" s="1"/>
  <c r="G4" i="3" s="1"/>
  <c r="H4" i="3" s="1"/>
  <c r="G245" i="2"/>
  <c r="G244" i="2"/>
  <c r="G232" i="2"/>
  <c r="G179" i="2" l="1"/>
  <c r="G177" i="2"/>
  <c r="G176" i="2"/>
  <c r="G178" i="2"/>
  <c r="G175" i="2"/>
  <c r="G174" i="2"/>
  <c r="G173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12" i="2"/>
  <c r="E57" i="2"/>
  <c r="G35" i="2"/>
  <c r="G32" i="2" l="1"/>
  <c r="G117" i="2" l="1"/>
  <c r="G119" i="2"/>
  <c r="G300" i="2"/>
  <c r="H300" i="2"/>
  <c r="I300" i="2" s="1"/>
  <c r="G301" i="2"/>
  <c r="H301" i="2"/>
  <c r="H302" i="2"/>
  <c r="G285" i="2"/>
  <c r="H285" i="2"/>
  <c r="H287" i="2"/>
  <c r="H289" i="2"/>
  <c r="H290" i="2"/>
  <c r="G291" i="2"/>
  <c r="G292" i="2"/>
  <c r="G293" i="2"/>
  <c r="H293" i="2"/>
  <c r="G294" i="2"/>
  <c r="H294" i="2"/>
  <c r="G295" i="2"/>
  <c r="G296" i="2"/>
  <c r="G297" i="2"/>
  <c r="H297" i="2"/>
  <c r="G298" i="2"/>
  <c r="H298" i="2"/>
  <c r="H271" i="2"/>
  <c r="H272" i="2"/>
  <c r="G273" i="2"/>
  <c r="G274" i="2"/>
  <c r="H274" i="2"/>
  <c r="G275" i="2"/>
  <c r="H275" i="2"/>
  <c r="G276" i="2"/>
  <c r="H276" i="2"/>
  <c r="G277" i="2"/>
  <c r="G279" i="2"/>
  <c r="H279" i="2"/>
  <c r="G280" i="2"/>
  <c r="H280" i="2"/>
  <c r="G281" i="2"/>
  <c r="G282" i="2"/>
  <c r="G283" i="2"/>
  <c r="H283" i="2"/>
  <c r="G250" i="2"/>
  <c r="H250" i="2"/>
  <c r="G251" i="2"/>
  <c r="H251" i="2"/>
  <c r="G252" i="2"/>
  <c r="H252" i="2"/>
  <c r="G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G262" i="2"/>
  <c r="H262" i="2"/>
  <c r="G263" i="2"/>
  <c r="H263" i="2"/>
  <c r="G264" i="2"/>
  <c r="H264" i="2"/>
  <c r="G265" i="2"/>
  <c r="G266" i="2"/>
  <c r="H266" i="2"/>
  <c r="G267" i="2"/>
  <c r="H267" i="2"/>
  <c r="G268" i="2"/>
  <c r="H268" i="2"/>
  <c r="G269" i="2"/>
  <c r="G235" i="2"/>
  <c r="H235" i="2"/>
  <c r="G236" i="2"/>
  <c r="H236" i="2"/>
  <c r="G237" i="2"/>
  <c r="H237" i="2"/>
  <c r="G238" i="2"/>
  <c r="G239" i="2"/>
  <c r="H239" i="2"/>
  <c r="G240" i="2"/>
  <c r="H240" i="2"/>
  <c r="H244" i="2"/>
  <c r="H245" i="2"/>
  <c r="G246" i="2"/>
  <c r="G247" i="2"/>
  <c r="H247" i="2"/>
  <c r="G248" i="2"/>
  <c r="H248" i="2"/>
  <c r="G219" i="2"/>
  <c r="G220" i="2"/>
  <c r="G221" i="2"/>
  <c r="G222" i="2"/>
  <c r="G223" i="2"/>
  <c r="G224" i="2"/>
  <c r="G225" i="2"/>
  <c r="G226" i="2"/>
  <c r="G228" i="2"/>
  <c r="H228" i="2"/>
  <c r="G229" i="2"/>
  <c r="H232" i="2"/>
  <c r="G233" i="2"/>
  <c r="G218" i="2"/>
  <c r="G199" i="2"/>
  <c r="G200" i="2"/>
  <c r="G201" i="2"/>
  <c r="G202" i="2"/>
  <c r="G203" i="2"/>
  <c r="G204" i="2"/>
  <c r="G206" i="2"/>
  <c r="H206" i="2"/>
  <c r="G207" i="2"/>
  <c r="G208" i="2"/>
  <c r="G209" i="2"/>
  <c r="G210" i="2"/>
  <c r="G211" i="2"/>
  <c r="G212" i="2"/>
  <c r="G215" i="2"/>
  <c r="H215" i="2"/>
  <c r="G216" i="2"/>
  <c r="G217" i="2"/>
  <c r="G182" i="2"/>
  <c r="I182" i="2"/>
  <c r="G183" i="2"/>
  <c r="G184" i="2"/>
  <c r="G188" i="2"/>
  <c r="H188" i="2"/>
  <c r="G189" i="2"/>
  <c r="G190" i="2"/>
  <c r="G191" i="2"/>
  <c r="G192" i="2"/>
  <c r="G194" i="2"/>
  <c r="H194" i="2"/>
  <c r="G195" i="2"/>
  <c r="G196" i="2"/>
  <c r="G19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H173" i="2"/>
  <c r="G180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01" i="2"/>
  <c r="G102" i="2"/>
  <c r="G103" i="2"/>
  <c r="G104" i="2"/>
  <c r="G105" i="2"/>
  <c r="G106" i="2"/>
  <c r="G107" i="2"/>
  <c r="G111" i="2"/>
  <c r="G113" i="2"/>
  <c r="G114" i="2"/>
  <c r="G115" i="2"/>
  <c r="G116" i="2"/>
  <c r="G118" i="2"/>
  <c r="G120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I81" i="2"/>
  <c r="G82" i="2"/>
  <c r="I82" i="2"/>
  <c r="G83" i="2"/>
  <c r="I83" i="2"/>
  <c r="G84" i="2"/>
  <c r="G85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H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16" i="2"/>
  <c r="G17" i="2"/>
  <c r="G18" i="2"/>
  <c r="G19" i="2"/>
  <c r="G20" i="2"/>
  <c r="G21" i="2"/>
  <c r="G22" i="2"/>
  <c r="G23" i="2"/>
  <c r="G24" i="2"/>
  <c r="G27" i="2"/>
  <c r="N27" i="2" s="1"/>
  <c r="G28" i="2"/>
  <c r="G29" i="2"/>
  <c r="I17" i="2" l="1"/>
  <c r="N17" i="2" s="1"/>
  <c r="L17" i="2"/>
  <c r="M17" i="2" s="1"/>
  <c r="I49" i="2"/>
  <c r="N49" i="2" s="1"/>
  <c r="L49" i="2"/>
  <c r="M49" i="2" s="1"/>
  <c r="I45" i="2"/>
  <c r="N45" i="2" s="1"/>
  <c r="L45" i="2"/>
  <c r="M45" i="2" s="1"/>
  <c r="I41" i="2"/>
  <c r="N41" i="2" s="1"/>
  <c r="L41" i="2"/>
  <c r="M41" i="2" s="1"/>
  <c r="I32" i="2"/>
  <c r="L32" i="2"/>
  <c r="M32" i="2" s="1"/>
  <c r="I64" i="2"/>
  <c r="N64" i="2" s="1"/>
  <c r="L64" i="2"/>
  <c r="M64" i="2" s="1"/>
  <c r="I60" i="2"/>
  <c r="N60" i="2" s="1"/>
  <c r="L60" i="2"/>
  <c r="M60" i="2" s="1"/>
  <c r="I58" i="2"/>
  <c r="N58" i="2" s="1"/>
  <c r="L58" i="2"/>
  <c r="M58" i="2" s="1"/>
  <c r="I56" i="2"/>
  <c r="N56" i="2" s="1"/>
  <c r="L56" i="2"/>
  <c r="M56" i="2" s="1"/>
  <c r="I52" i="2"/>
  <c r="N52" i="2" s="1"/>
  <c r="L52" i="2"/>
  <c r="M52" i="2" s="1"/>
  <c r="I117" i="2"/>
  <c r="N117" i="2" s="1"/>
  <c r="L117" i="2"/>
  <c r="M117" i="2" s="1"/>
  <c r="L106" i="2"/>
  <c r="M106" i="2" s="1"/>
  <c r="I106" i="2"/>
  <c r="N106" i="2" s="1"/>
  <c r="I104" i="2"/>
  <c r="N104" i="2" s="1"/>
  <c r="L104" i="2"/>
  <c r="M104" i="2" s="1"/>
  <c r="I102" i="2"/>
  <c r="N102" i="2" s="1"/>
  <c r="L102" i="2"/>
  <c r="M102" i="2" s="1"/>
  <c r="I132" i="2"/>
  <c r="N132" i="2" s="1"/>
  <c r="L132" i="2"/>
  <c r="M132" i="2" s="1"/>
  <c r="I124" i="2"/>
  <c r="N124" i="2" s="1"/>
  <c r="L124" i="2"/>
  <c r="M124" i="2" s="1"/>
  <c r="H152" i="2"/>
  <c r="I146" i="2"/>
  <c r="N146" i="2" s="1"/>
  <c r="L146" i="2"/>
  <c r="M146" i="2" s="1"/>
  <c r="I144" i="2"/>
  <c r="N144" i="2" s="1"/>
  <c r="L144" i="2"/>
  <c r="M144" i="2" s="1"/>
  <c r="I142" i="2"/>
  <c r="N142" i="2" s="1"/>
  <c r="L142" i="2"/>
  <c r="M142" i="2" s="1"/>
  <c r="I138" i="2"/>
  <c r="N138" i="2" s="1"/>
  <c r="L138" i="2"/>
  <c r="M138" i="2" s="1"/>
  <c r="I179" i="2"/>
  <c r="N179" i="2" s="1"/>
  <c r="L179" i="2"/>
  <c r="M179" i="2" s="1"/>
  <c r="I175" i="2"/>
  <c r="N175" i="2" s="1"/>
  <c r="L175" i="2"/>
  <c r="M175" i="2" s="1"/>
  <c r="I168" i="2"/>
  <c r="N168" i="2" s="1"/>
  <c r="L168" i="2"/>
  <c r="M168" i="2" s="1"/>
  <c r="I164" i="2"/>
  <c r="N164" i="2" s="1"/>
  <c r="L164" i="2"/>
  <c r="M164" i="2" s="1"/>
  <c r="I160" i="2"/>
  <c r="N160" i="2" s="1"/>
  <c r="L160" i="2"/>
  <c r="M160" i="2" s="1"/>
  <c r="I195" i="2"/>
  <c r="N195" i="2" s="1"/>
  <c r="L195" i="2"/>
  <c r="M195" i="2" s="1"/>
  <c r="I211" i="2"/>
  <c r="N211" i="2" s="1"/>
  <c r="L211" i="2"/>
  <c r="M211" i="2" s="1"/>
  <c r="I207" i="2"/>
  <c r="N207" i="2" s="1"/>
  <c r="L207" i="2"/>
  <c r="M207" i="2" s="1"/>
  <c r="I224" i="2"/>
  <c r="N224" i="2" s="1"/>
  <c r="L224" i="2"/>
  <c r="M224" i="2" s="1"/>
  <c r="I222" i="2"/>
  <c r="N222" i="2" s="1"/>
  <c r="L222" i="2"/>
  <c r="M222" i="2" s="1"/>
  <c r="I220" i="2"/>
  <c r="N220" i="2" s="1"/>
  <c r="L220" i="2"/>
  <c r="M220" i="2" s="1"/>
  <c r="I248" i="2"/>
  <c r="N248" i="2" s="1"/>
  <c r="L248" i="2"/>
  <c r="M248" i="2" s="1"/>
  <c r="H246" i="2"/>
  <c r="I239" i="2"/>
  <c r="N239" i="2" s="1"/>
  <c r="L239" i="2"/>
  <c r="M239" i="2" s="1"/>
  <c r="L237" i="2"/>
  <c r="M237" i="2" s="1"/>
  <c r="I237" i="2"/>
  <c r="N237" i="2" s="1"/>
  <c r="I235" i="2"/>
  <c r="N235" i="2" s="1"/>
  <c r="L235" i="2"/>
  <c r="M235" i="2" s="1"/>
  <c r="I268" i="2"/>
  <c r="N268" i="2" s="1"/>
  <c r="L268" i="2"/>
  <c r="M268" i="2" s="1"/>
  <c r="I266" i="2"/>
  <c r="N266" i="2" s="1"/>
  <c r="L266" i="2"/>
  <c r="M266" i="2" s="1"/>
  <c r="I264" i="2"/>
  <c r="N264" i="2" s="1"/>
  <c r="L264" i="2"/>
  <c r="M264" i="2" s="1"/>
  <c r="I262" i="2"/>
  <c r="N262" i="2" s="1"/>
  <c r="L262" i="2"/>
  <c r="M262" i="2" s="1"/>
  <c r="H277" i="2"/>
  <c r="L275" i="2"/>
  <c r="M275" i="2" s="1"/>
  <c r="I275" i="2"/>
  <c r="N275" i="2" s="1"/>
  <c r="H273" i="2"/>
  <c r="I298" i="2"/>
  <c r="N298" i="2" s="1"/>
  <c r="L298" i="2"/>
  <c r="M298" i="2" s="1"/>
  <c r="H296" i="2"/>
  <c r="I294" i="2"/>
  <c r="N294" i="2" s="1"/>
  <c r="L294" i="2"/>
  <c r="H292" i="2"/>
  <c r="I290" i="2"/>
  <c r="N290" i="2" s="1"/>
  <c r="L290" i="2"/>
  <c r="M290" i="2" s="1"/>
  <c r="I302" i="2"/>
  <c r="L302" i="2"/>
  <c r="I31" i="2"/>
  <c r="L31" i="2"/>
  <c r="M31" i="2" s="1"/>
  <c r="I16" i="2"/>
  <c r="N16" i="2" s="1"/>
  <c r="L16" i="2"/>
  <c r="M16" i="2" s="1"/>
  <c r="I48" i="2"/>
  <c r="N48" i="2" s="1"/>
  <c r="L48" i="2"/>
  <c r="M48" i="2" s="1"/>
  <c r="L44" i="2"/>
  <c r="M44" i="2" s="1"/>
  <c r="I44" i="2"/>
  <c r="N44" i="2" s="1"/>
  <c r="I42" i="2"/>
  <c r="N42" i="2" s="1"/>
  <c r="L42" i="2"/>
  <c r="M42" i="2" s="1"/>
  <c r="I40" i="2"/>
  <c r="N40" i="2" s="1"/>
  <c r="L40" i="2"/>
  <c r="M40" i="2" s="1"/>
  <c r="I38" i="2"/>
  <c r="N38" i="2" s="1"/>
  <c r="L38" i="2"/>
  <c r="M38" i="2" s="1"/>
  <c r="I36" i="2"/>
  <c r="N36" i="2" s="1"/>
  <c r="L36" i="2"/>
  <c r="M36" i="2" s="1"/>
  <c r="N82" i="2"/>
  <c r="L82" i="2"/>
  <c r="M82" i="2" s="1"/>
  <c r="I78" i="2"/>
  <c r="N78" i="2" s="1"/>
  <c r="L78" i="2"/>
  <c r="M78" i="2" s="1"/>
  <c r="N74" i="2"/>
  <c r="L74" i="2"/>
  <c r="M74" i="2" s="1"/>
  <c r="I72" i="2"/>
  <c r="N72" i="2" s="1"/>
  <c r="L72" i="2"/>
  <c r="M72" i="2" s="1"/>
  <c r="N70" i="2"/>
  <c r="L70" i="2"/>
  <c r="M70" i="2" s="1"/>
  <c r="I99" i="2"/>
  <c r="N99" i="2" s="1"/>
  <c r="L99" i="2"/>
  <c r="M99" i="2" s="1"/>
  <c r="I95" i="2"/>
  <c r="N95" i="2" s="1"/>
  <c r="L95" i="2"/>
  <c r="M95" i="2" s="1"/>
  <c r="N91" i="2"/>
  <c r="L91" i="2"/>
  <c r="M91" i="2" s="1"/>
  <c r="I89" i="2"/>
  <c r="N89" i="2" s="1"/>
  <c r="L89" i="2"/>
  <c r="M89" i="2" s="1"/>
  <c r="I87" i="2"/>
  <c r="N87" i="2" s="1"/>
  <c r="L87" i="2"/>
  <c r="M87" i="2" s="1"/>
  <c r="I119" i="2"/>
  <c r="N119" i="2" s="1"/>
  <c r="L119" i="2"/>
  <c r="M119" i="2" s="1"/>
  <c r="I114" i="2"/>
  <c r="N114" i="2" s="1"/>
  <c r="L114" i="2"/>
  <c r="M114" i="2" s="1"/>
  <c r="I112" i="2"/>
  <c r="N112" i="2" s="1"/>
  <c r="L112" i="2"/>
  <c r="M112" i="2" s="1"/>
  <c r="I135" i="2"/>
  <c r="N135" i="2" s="1"/>
  <c r="L135" i="2"/>
  <c r="M135" i="2" s="1"/>
  <c r="I131" i="2"/>
  <c r="N131" i="2" s="1"/>
  <c r="L131" i="2"/>
  <c r="M131" i="2" s="1"/>
  <c r="L127" i="2"/>
  <c r="M127" i="2" s="1"/>
  <c r="I127" i="2"/>
  <c r="N127" i="2" s="1"/>
  <c r="I123" i="2"/>
  <c r="N123" i="2" s="1"/>
  <c r="L123" i="2"/>
  <c r="M123" i="2" s="1"/>
  <c r="I155" i="2"/>
  <c r="N155" i="2" s="1"/>
  <c r="L155" i="2"/>
  <c r="M155" i="2" s="1"/>
  <c r="I178" i="2"/>
  <c r="N178" i="2" s="1"/>
  <c r="M178" i="2"/>
  <c r="I174" i="2"/>
  <c r="N174" i="2" s="1"/>
  <c r="L174" i="2"/>
  <c r="M174" i="2" s="1"/>
  <c r="I190" i="2"/>
  <c r="N190" i="2" s="1"/>
  <c r="L190" i="2"/>
  <c r="M190" i="2" s="1"/>
  <c r="I188" i="2"/>
  <c r="N188" i="2" s="1"/>
  <c r="L188" i="2"/>
  <c r="M188" i="2" s="1"/>
  <c r="N182" i="2"/>
  <c r="L182" i="2"/>
  <c r="M182" i="2" s="1"/>
  <c r="I216" i="2"/>
  <c r="N216" i="2" s="1"/>
  <c r="L216" i="2"/>
  <c r="M216" i="2" s="1"/>
  <c r="I204" i="2"/>
  <c r="N204" i="2" s="1"/>
  <c r="L204" i="2"/>
  <c r="M204" i="2" s="1"/>
  <c r="I200" i="2"/>
  <c r="N200" i="2" s="1"/>
  <c r="L200" i="2"/>
  <c r="M200" i="2" s="1"/>
  <c r="I218" i="2"/>
  <c r="N218" i="2" s="1"/>
  <c r="L218" i="2"/>
  <c r="M218" i="2" s="1"/>
  <c r="I232" i="2"/>
  <c r="L232" i="2"/>
  <c r="M232" i="2" s="1"/>
  <c r="I228" i="2"/>
  <c r="N228" i="2" s="1"/>
  <c r="L228" i="2"/>
  <c r="M228" i="2" s="1"/>
  <c r="L259" i="2"/>
  <c r="M259" i="2" s="1"/>
  <c r="I259" i="2"/>
  <c r="N259" i="2" s="1"/>
  <c r="I257" i="2"/>
  <c r="N257" i="2" s="1"/>
  <c r="L257" i="2"/>
  <c r="M257" i="2" s="1"/>
  <c r="L255" i="2"/>
  <c r="M255" i="2" s="1"/>
  <c r="I255" i="2"/>
  <c r="N255" i="2" s="1"/>
  <c r="H253" i="2"/>
  <c r="L251" i="2"/>
  <c r="M251" i="2" s="1"/>
  <c r="I251" i="2"/>
  <c r="N251" i="2" s="1"/>
  <c r="L283" i="2"/>
  <c r="M283" i="2" s="1"/>
  <c r="I283" i="2"/>
  <c r="N283" i="2" s="1"/>
  <c r="H281" i="2"/>
  <c r="L279" i="2"/>
  <c r="M279" i="2" s="1"/>
  <c r="I279" i="2"/>
  <c r="N279" i="2" s="1"/>
  <c r="I289" i="2"/>
  <c r="N289" i="2" s="1"/>
  <c r="L289" i="2"/>
  <c r="M289" i="2" s="1"/>
  <c r="L285" i="2"/>
  <c r="M285" i="2" s="1"/>
  <c r="I285" i="2"/>
  <c r="N285" i="2" s="1"/>
  <c r="I301" i="2"/>
  <c r="N301" i="2" s="1"/>
  <c r="L301" i="2"/>
  <c r="M301" i="2" s="1"/>
  <c r="I28" i="2"/>
  <c r="N28" i="2" s="1"/>
  <c r="L28" i="2"/>
  <c r="M28" i="2" s="1"/>
  <c r="I22" i="2"/>
  <c r="N22" i="2" s="1"/>
  <c r="L22" i="2"/>
  <c r="M22" i="2" s="1"/>
  <c r="I50" i="2"/>
  <c r="N50" i="2" s="1"/>
  <c r="L50" i="2"/>
  <c r="M50" i="2" s="1"/>
  <c r="I46" i="2"/>
  <c r="N46" i="2" s="1"/>
  <c r="L46" i="2"/>
  <c r="M46" i="2" s="1"/>
  <c r="I30" i="2"/>
  <c r="L30" i="2"/>
  <c r="M30" i="2" s="1"/>
  <c r="I65" i="2"/>
  <c r="N65" i="2" s="1"/>
  <c r="L65" i="2"/>
  <c r="M65" i="2" s="1"/>
  <c r="I63" i="2"/>
  <c r="N63" i="2" s="1"/>
  <c r="L63" i="2"/>
  <c r="M63" i="2" s="1"/>
  <c r="I61" i="2"/>
  <c r="N61" i="2" s="1"/>
  <c r="L61" i="2"/>
  <c r="M61" i="2" s="1"/>
  <c r="I57" i="2"/>
  <c r="N57" i="2" s="1"/>
  <c r="L57" i="2"/>
  <c r="M57" i="2" s="1"/>
  <c r="I55" i="2"/>
  <c r="N55" i="2" s="1"/>
  <c r="L55" i="2"/>
  <c r="M55" i="2" s="1"/>
  <c r="I53" i="2"/>
  <c r="N53" i="2" s="1"/>
  <c r="L53" i="2"/>
  <c r="M53" i="2" s="1"/>
  <c r="I118" i="2"/>
  <c r="N118" i="2" s="1"/>
  <c r="L118" i="2"/>
  <c r="M118" i="2" s="1"/>
  <c r="I107" i="2"/>
  <c r="N107" i="2" s="1"/>
  <c r="L107" i="2"/>
  <c r="M107" i="2" s="1"/>
  <c r="I101" i="2"/>
  <c r="N101" i="2" s="1"/>
  <c r="L101" i="2"/>
  <c r="M101" i="2" s="1"/>
  <c r="I134" i="2"/>
  <c r="N134" i="2" s="1"/>
  <c r="L134" i="2"/>
  <c r="M134" i="2" s="1"/>
  <c r="I130" i="2"/>
  <c r="N130" i="2" s="1"/>
  <c r="L130" i="2"/>
  <c r="M130" i="2" s="1"/>
  <c r="I126" i="2"/>
  <c r="N126" i="2" s="1"/>
  <c r="L126" i="2"/>
  <c r="M126" i="2" s="1"/>
  <c r="I122" i="2"/>
  <c r="N122" i="2" s="1"/>
  <c r="L122" i="2"/>
  <c r="M122" i="2" s="1"/>
  <c r="I154" i="2"/>
  <c r="N154" i="2" s="1"/>
  <c r="L154" i="2"/>
  <c r="M154" i="2" s="1"/>
  <c r="I147" i="2"/>
  <c r="N147" i="2" s="1"/>
  <c r="L147" i="2"/>
  <c r="M147" i="2" s="1"/>
  <c r="L143" i="2"/>
  <c r="M143" i="2" s="1"/>
  <c r="I143" i="2"/>
  <c r="N143" i="2" s="1"/>
  <c r="I141" i="2"/>
  <c r="N141" i="2" s="1"/>
  <c r="L141" i="2"/>
  <c r="M141" i="2" s="1"/>
  <c r="I139" i="2"/>
  <c r="N139" i="2" s="1"/>
  <c r="L139" i="2"/>
  <c r="M139" i="2" s="1"/>
  <c r="I180" i="2"/>
  <c r="N180" i="2" s="1"/>
  <c r="L180" i="2"/>
  <c r="M180" i="2" s="1"/>
  <c r="I177" i="2"/>
  <c r="N177" i="2" s="1"/>
  <c r="M177" i="2"/>
  <c r="I173" i="2"/>
  <c r="L173" i="2"/>
  <c r="M173" i="2" s="1"/>
  <c r="I169" i="2"/>
  <c r="N169" i="2" s="1"/>
  <c r="L169" i="2"/>
  <c r="M169" i="2" s="1"/>
  <c r="I167" i="2"/>
  <c r="N167" i="2" s="1"/>
  <c r="L167" i="2"/>
  <c r="M167" i="2" s="1"/>
  <c r="I163" i="2"/>
  <c r="N163" i="2" s="1"/>
  <c r="L163" i="2"/>
  <c r="M163" i="2" s="1"/>
  <c r="I159" i="2"/>
  <c r="N159" i="2" s="1"/>
  <c r="L159" i="2"/>
  <c r="M159" i="2" s="1"/>
  <c r="I194" i="2"/>
  <c r="N194" i="2" s="1"/>
  <c r="L194" i="2"/>
  <c r="M194" i="2" s="1"/>
  <c r="I212" i="2"/>
  <c r="N212" i="2" s="1"/>
  <c r="L212" i="2"/>
  <c r="M212" i="2" s="1"/>
  <c r="I210" i="2"/>
  <c r="N210" i="2" s="1"/>
  <c r="L210" i="2"/>
  <c r="M210" i="2" s="1"/>
  <c r="I208" i="2"/>
  <c r="N208" i="2" s="1"/>
  <c r="L208" i="2"/>
  <c r="M208" i="2" s="1"/>
  <c r="I206" i="2"/>
  <c r="N206" i="2" s="1"/>
  <c r="L206" i="2"/>
  <c r="M206" i="2" s="1"/>
  <c r="L223" i="2"/>
  <c r="M223" i="2" s="1"/>
  <c r="I223" i="2"/>
  <c r="N223" i="2" s="1"/>
  <c r="L219" i="2"/>
  <c r="M219" i="2" s="1"/>
  <c r="I219" i="2"/>
  <c r="N219" i="2" s="1"/>
  <c r="I247" i="2"/>
  <c r="N247" i="2" s="1"/>
  <c r="L247" i="2"/>
  <c r="M247" i="2" s="1"/>
  <c r="L245" i="2"/>
  <c r="M245" i="2" s="1"/>
  <c r="I245" i="2"/>
  <c r="N245" i="2" s="1"/>
  <c r="I240" i="2"/>
  <c r="N240" i="2" s="1"/>
  <c r="L240" i="2"/>
  <c r="M240" i="2" s="1"/>
  <c r="H238" i="2"/>
  <c r="L236" i="2"/>
  <c r="M236" i="2" s="1"/>
  <c r="I236" i="2"/>
  <c r="N236" i="2" s="1"/>
  <c r="H269" i="2"/>
  <c r="L267" i="2"/>
  <c r="M267" i="2" s="1"/>
  <c r="I267" i="2"/>
  <c r="N267" i="2" s="1"/>
  <c r="H265" i="2"/>
  <c r="L263" i="2"/>
  <c r="M263" i="2" s="1"/>
  <c r="I263" i="2"/>
  <c r="N263" i="2" s="1"/>
  <c r="I276" i="2"/>
  <c r="N276" i="2" s="1"/>
  <c r="L276" i="2"/>
  <c r="M276" i="2" s="1"/>
  <c r="I274" i="2"/>
  <c r="N274" i="2" s="1"/>
  <c r="L274" i="2"/>
  <c r="M274" i="2" s="1"/>
  <c r="I272" i="2"/>
  <c r="N272" i="2" s="1"/>
  <c r="L272" i="2"/>
  <c r="M272" i="2" s="1"/>
  <c r="I297" i="2"/>
  <c r="N297" i="2" s="1"/>
  <c r="L297" i="2"/>
  <c r="M297" i="2" s="1"/>
  <c r="H295" i="2"/>
  <c r="I293" i="2"/>
  <c r="N293" i="2" s="1"/>
  <c r="L293" i="2"/>
  <c r="M293" i="2" s="1"/>
  <c r="H291" i="2"/>
  <c r="H288" i="2"/>
  <c r="L23" i="2"/>
  <c r="M23" i="2" s="1"/>
  <c r="I23" i="2"/>
  <c r="N23" i="2" s="1"/>
  <c r="H15" i="2"/>
  <c r="I47" i="2"/>
  <c r="N47" i="2" s="1"/>
  <c r="L47" i="2"/>
  <c r="M47" i="2" s="1"/>
  <c r="I43" i="2"/>
  <c r="N43" i="2" s="1"/>
  <c r="M43" i="2"/>
  <c r="I39" i="2"/>
  <c r="N39" i="2" s="1"/>
  <c r="L39" i="2"/>
  <c r="M39" i="2" s="1"/>
  <c r="I37" i="2"/>
  <c r="N37" i="2" s="1"/>
  <c r="L37" i="2"/>
  <c r="M37" i="2" s="1"/>
  <c r="L35" i="2"/>
  <c r="M35" i="2" s="1"/>
  <c r="I35" i="2"/>
  <c r="I85" i="2"/>
  <c r="N85" i="2" s="1"/>
  <c r="L85" i="2"/>
  <c r="M85" i="2" s="1"/>
  <c r="N83" i="2"/>
  <c r="L83" i="2"/>
  <c r="M83" i="2" s="1"/>
  <c r="L81" i="2"/>
  <c r="M81" i="2" s="1"/>
  <c r="N81" i="2"/>
  <c r="I77" i="2"/>
  <c r="N77" i="2" s="1"/>
  <c r="L77" i="2"/>
  <c r="M77" i="2" s="1"/>
  <c r="I73" i="2"/>
  <c r="N73" i="2" s="1"/>
  <c r="L73" i="2"/>
  <c r="M73" i="2" s="1"/>
  <c r="I69" i="2"/>
  <c r="N69" i="2" s="1"/>
  <c r="L69" i="2"/>
  <c r="M69" i="2" s="1"/>
  <c r="I96" i="2"/>
  <c r="N96" i="2" s="1"/>
  <c r="L96" i="2"/>
  <c r="M96" i="2" s="1"/>
  <c r="I92" i="2"/>
  <c r="N92" i="2" s="1"/>
  <c r="L92" i="2"/>
  <c r="M92" i="2" s="1"/>
  <c r="I90" i="2"/>
  <c r="N90" i="2" s="1"/>
  <c r="L90" i="2"/>
  <c r="M90" i="2" s="1"/>
  <c r="I88" i="2"/>
  <c r="N88" i="2" s="1"/>
  <c r="L88" i="2"/>
  <c r="M88" i="2" s="1"/>
  <c r="I113" i="2"/>
  <c r="N113" i="2" s="1"/>
  <c r="L113" i="2"/>
  <c r="M113" i="2" s="1"/>
  <c r="I133" i="2"/>
  <c r="N133" i="2" s="1"/>
  <c r="L133" i="2"/>
  <c r="M133" i="2" s="1"/>
  <c r="I129" i="2"/>
  <c r="N129" i="2" s="1"/>
  <c r="L129" i="2"/>
  <c r="M129" i="2" s="1"/>
  <c r="I125" i="2"/>
  <c r="N125" i="2" s="1"/>
  <c r="L125" i="2"/>
  <c r="M125" i="2" s="1"/>
  <c r="I153" i="2"/>
  <c r="N153" i="2" s="1"/>
  <c r="L153" i="2"/>
  <c r="M153" i="2" s="1"/>
  <c r="I176" i="2"/>
  <c r="N176" i="2" s="1"/>
  <c r="L176" i="2"/>
  <c r="M176" i="2" s="1"/>
  <c r="I191" i="2"/>
  <c r="N191" i="2" s="1"/>
  <c r="L191" i="2"/>
  <c r="M191" i="2" s="1"/>
  <c r="I183" i="2"/>
  <c r="N183" i="2" s="1"/>
  <c r="L183" i="2"/>
  <c r="M183" i="2" s="1"/>
  <c r="L215" i="2"/>
  <c r="M215" i="2" s="1"/>
  <c r="I215" i="2"/>
  <c r="N215" i="2" s="1"/>
  <c r="I203" i="2"/>
  <c r="N203" i="2" s="1"/>
  <c r="L203" i="2"/>
  <c r="M203" i="2" s="1"/>
  <c r="L201" i="2"/>
  <c r="M201" i="2" s="1"/>
  <c r="I201" i="2"/>
  <c r="N201" i="2" s="1"/>
  <c r="L199" i="2"/>
  <c r="M199" i="2" s="1"/>
  <c r="I199" i="2"/>
  <c r="N199" i="2" s="1"/>
  <c r="H229" i="2"/>
  <c r="I244" i="2"/>
  <c r="L244" i="2"/>
  <c r="M244" i="2" s="1"/>
  <c r="H260" i="2"/>
  <c r="I258" i="2"/>
  <c r="N258" i="2" s="1"/>
  <c r="L258" i="2"/>
  <c r="M258" i="2" s="1"/>
  <c r="L256" i="2"/>
  <c r="M256" i="2" s="1"/>
  <c r="I256" i="2"/>
  <c r="N256" i="2" s="1"/>
  <c r="I254" i="2"/>
  <c r="N254" i="2" s="1"/>
  <c r="L254" i="2"/>
  <c r="M254" i="2" s="1"/>
  <c r="I252" i="2"/>
  <c r="N252" i="2" s="1"/>
  <c r="L252" i="2"/>
  <c r="M252" i="2" s="1"/>
  <c r="L250" i="2"/>
  <c r="M250" i="2" s="1"/>
  <c r="I250" i="2"/>
  <c r="N250" i="2" s="1"/>
  <c r="H282" i="2"/>
  <c r="I280" i="2"/>
  <c r="N280" i="2" s="1"/>
  <c r="L280" i="2"/>
  <c r="M280" i="2" s="1"/>
  <c r="L271" i="2"/>
  <c r="M271" i="2" s="1"/>
  <c r="I271" i="2"/>
  <c r="N271" i="2" s="1"/>
  <c r="L287" i="2"/>
  <c r="M287" i="2" s="1"/>
  <c r="I287" i="2"/>
  <c r="N287" i="2" s="1"/>
  <c r="N300" i="2"/>
  <c r="L300" i="2"/>
  <c r="M300" i="2" s="1"/>
  <c r="G230" i="2"/>
  <c r="G30" i="2"/>
  <c r="G31" i="2"/>
  <c r="M294" i="2"/>
  <c r="M27" i="2"/>
  <c r="N30" i="2" l="1"/>
  <c r="N31" i="2"/>
  <c r="I282" i="2"/>
  <c r="N282" i="2" s="1"/>
  <c r="L282" i="2"/>
  <c r="M282" i="2" s="1"/>
  <c r="I260" i="2"/>
  <c r="N260" i="2" s="1"/>
  <c r="L260" i="2"/>
  <c r="M260" i="2" s="1"/>
  <c r="I229" i="2"/>
  <c r="N229" i="2" s="1"/>
  <c r="L229" i="2"/>
  <c r="M229" i="2" s="1"/>
  <c r="L217" i="2"/>
  <c r="M217" i="2" s="1"/>
  <c r="I217" i="2"/>
  <c r="N217" i="2" s="1"/>
  <c r="I189" i="2"/>
  <c r="N189" i="2" s="1"/>
  <c r="L189" i="2"/>
  <c r="M189" i="2" s="1"/>
  <c r="N35" i="2"/>
  <c r="N19" i="2"/>
  <c r="L19" i="2"/>
  <c r="M19" i="2" s="1"/>
  <c r="I145" i="2"/>
  <c r="N145" i="2" s="1"/>
  <c r="L145" i="2"/>
  <c r="M145" i="2" s="1"/>
  <c r="I149" i="2"/>
  <c r="N149" i="2" s="1"/>
  <c r="L149" i="2"/>
  <c r="M149" i="2" s="1"/>
  <c r="I111" i="2"/>
  <c r="N111" i="2" s="1"/>
  <c r="L111" i="2"/>
  <c r="M111" i="2" s="1"/>
  <c r="I202" i="2"/>
  <c r="N202" i="2" s="1"/>
  <c r="L202" i="2"/>
  <c r="M202" i="2" s="1"/>
  <c r="I93" i="2"/>
  <c r="N93" i="2" s="1"/>
  <c r="L93" i="2"/>
  <c r="M93" i="2" s="1"/>
  <c r="I97" i="2"/>
  <c r="N97" i="2" s="1"/>
  <c r="L97" i="2"/>
  <c r="M97" i="2" s="1"/>
  <c r="I226" i="2"/>
  <c r="N226" i="2" s="1"/>
  <c r="L226" i="2"/>
  <c r="M226" i="2" s="1"/>
  <c r="L197" i="2"/>
  <c r="M197" i="2" s="1"/>
  <c r="I197" i="2"/>
  <c r="N197" i="2" s="1"/>
  <c r="I162" i="2"/>
  <c r="N162" i="2" s="1"/>
  <c r="L162" i="2"/>
  <c r="M162" i="2" s="1"/>
  <c r="I166" i="2"/>
  <c r="N166" i="2" s="1"/>
  <c r="L166" i="2"/>
  <c r="M166" i="2" s="1"/>
  <c r="L170" i="2"/>
  <c r="M170" i="2" s="1"/>
  <c r="I170" i="2"/>
  <c r="N170" i="2" s="1"/>
  <c r="I140" i="2"/>
  <c r="N140" i="2" s="1"/>
  <c r="L140" i="2"/>
  <c r="M140" i="2" s="1"/>
  <c r="I148" i="2"/>
  <c r="N148" i="2" s="1"/>
  <c r="L148" i="2"/>
  <c r="M148" i="2" s="1"/>
  <c r="I156" i="2"/>
  <c r="N156" i="2" s="1"/>
  <c r="L156" i="2"/>
  <c r="M156" i="2" s="1"/>
  <c r="I128" i="2"/>
  <c r="N128" i="2" s="1"/>
  <c r="L128" i="2"/>
  <c r="M128" i="2" s="1"/>
  <c r="I136" i="2"/>
  <c r="N136" i="2" s="1"/>
  <c r="L136" i="2"/>
  <c r="M136" i="2" s="1"/>
  <c r="I54" i="2"/>
  <c r="N54" i="2" s="1"/>
  <c r="L54" i="2"/>
  <c r="M54" i="2" s="1"/>
  <c r="I62" i="2"/>
  <c r="N62" i="2" s="1"/>
  <c r="L62" i="2"/>
  <c r="M62" i="2" s="1"/>
  <c r="I120" i="2"/>
  <c r="N120" i="2" s="1"/>
  <c r="L120" i="2"/>
  <c r="M120" i="2" s="1"/>
  <c r="I94" i="2"/>
  <c r="N94" i="2" s="1"/>
  <c r="L94" i="2"/>
  <c r="M94" i="2" s="1"/>
  <c r="I98" i="2"/>
  <c r="N98" i="2" s="1"/>
  <c r="L98" i="2"/>
  <c r="M98" i="2" s="1"/>
  <c r="I71" i="2"/>
  <c r="N71" i="2" s="1"/>
  <c r="L71" i="2"/>
  <c r="M71" i="2" s="1"/>
  <c r="L291" i="2"/>
  <c r="M291" i="2" s="1"/>
  <c r="I291" i="2"/>
  <c r="N291" i="2" s="1"/>
  <c r="L295" i="2"/>
  <c r="M295" i="2" s="1"/>
  <c r="I295" i="2"/>
  <c r="N295" i="2" s="1"/>
  <c r="I265" i="2"/>
  <c r="N265" i="2" s="1"/>
  <c r="L265" i="2"/>
  <c r="M265" i="2" s="1"/>
  <c r="I269" i="2"/>
  <c r="N269" i="2" s="1"/>
  <c r="L269" i="2"/>
  <c r="M269" i="2" s="1"/>
  <c r="I238" i="2"/>
  <c r="N238" i="2" s="1"/>
  <c r="L238" i="2"/>
  <c r="M238" i="2" s="1"/>
  <c r="N173" i="2"/>
  <c r="I20" i="2"/>
  <c r="N20" i="2" s="1"/>
  <c r="L20" i="2"/>
  <c r="M20" i="2" s="1"/>
  <c r="I281" i="2"/>
  <c r="N281" i="2" s="1"/>
  <c r="L281" i="2"/>
  <c r="M281" i="2" s="1"/>
  <c r="I192" i="2"/>
  <c r="N192" i="2" s="1"/>
  <c r="L192" i="2"/>
  <c r="M192" i="2" s="1"/>
  <c r="I24" i="2"/>
  <c r="N24" i="2" s="1"/>
  <c r="L24" i="2"/>
  <c r="M24" i="2" s="1"/>
  <c r="I209" i="2"/>
  <c r="N209" i="2" s="1"/>
  <c r="L209" i="2"/>
  <c r="M209" i="2" s="1"/>
  <c r="N32" i="2"/>
  <c r="N244" i="2"/>
  <c r="I115" i="2"/>
  <c r="N115" i="2" s="1"/>
  <c r="L115" i="2"/>
  <c r="M115" i="2" s="1"/>
  <c r="L15" i="2"/>
  <c r="M15" i="2" s="1"/>
  <c r="I15" i="2"/>
  <c r="I196" i="2"/>
  <c r="N196" i="2" s="1"/>
  <c r="L196" i="2"/>
  <c r="M196" i="2" s="1"/>
  <c r="I161" i="2"/>
  <c r="N161" i="2" s="1"/>
  <c r="L161" i="2"/>
  <c r="M161" i="2" s="1"/>
  <c r="I165" i="2"/>
  <c r="N165" i="2" s="1"/>
  <c r="L165" i="2"/>
  <c r="M165" i="2" s="1"/>
  <c r="I103" i="2"/>
  <c r="N103" i="2" s="1"/>
  <c r="L103" i="2"/>
  <c r="M103" i="2" s="1"/>
  <c r="I116" i="2"/>
  <c r="N116" i="2" s="1"/>
  <c r="L116" i="2"/>
  <c r="M116" i="2" s="1"/>
  <c r="I76" i="2"/>
  <c r="N76" i="2" s="1"/>
  <c r="L76" i="2"/>
  <c r="M76" i="2" s="1"/>
  <c r="I80" i="2"/>
  <c r="N80" i="2" s="1"/>
  <c r="L80" i="2"/>
  <c r="M80" i="2" s="1"/>
  <c r="I84" i="2"/>
  <c r="N84" i="2" s="1"/>
  <c r="L84" i="2"/>
  <c r="M84" i="2" s="1"/>
  <c r="I292" i="2"/>
  <c r="N292" i="2" s="1"/>
  <c r="L292" i="2"/>
  <c r="M292" i="2" s="1"/>
  <c r="I296" i="2"/>
  <c r="N296" i="2" s="1"/>
  <c r="L296" i="2"/>
  <c r="M296" i="2" s="1"/>
  <c r="I273" i="2"/>
  <c r="N273" i="2" s="1"/>
  <c r="L273" i="2"/>
  <c r="M273" i="2" s="1"/>
  <c r="L277" i="2"/>
  <c r="M277" i="2" s="1"/>
  <c r="I277" i="2"/>
  <c r="N277" i="2" s="1"/>
  <c r="I246" i="2"/>
  <c r="N246" i="2" s="1"/>
  <c r="L246" i="2"/>
  <c r="M246" i="2" s="1"/>
  <c r="I152" i="2"/>
  <c r="L152" i="2"/>
  <c r="M152" i="2" s="1"/>
  <c r="I21" i="2"/>
  <c r="N21" i="2" s="1"/>
  <c r="L21" i="2"/>
  <c r="M21" i="2" s="1"/>
  <c r="L157" i="2"/>
  <c r="M157" i="2" s="1"/>
  <c r="I157" i="2"/>
  <c r="N157" i="2" s="1"/>
  <c r="I288" i="2"/>
  <c r="N288" i="2" s="1"/>
  <c r="L288" i="2"/>
  <c r="M288" i="2" s="1"/>
  <c r="I221" i="2"/>
  <c r="N221" i="2" s="1"/>
  <c r="L221" i="2"/>
  <c r="M221" i="2" s="1"/>
  <c r="L225" i="2"/>
  <c r="M225" i="2" s="1"/>
  <c r="I225" i="2"/>
  <c r="N225" i="2" s="1"/>
  <c r="I59" i="2"/>
  <c r="N59" i="2" s="1"/>
  <c r="L59" i="2"/>
  <c r="M59" i="2" s="1"/>
  <c r="I18" i="2"/>
  <c r="N18" i="2" s="1"/>
  <c r="L18" i="2"/>
  <c r="M18" i="2" s="1"/>
  <c r="I29" i="2"/>
  <c r="N29" i="2" s="1"/>
  <c r="L29" i="2"/>
  <c r="M29" i="2" s="1"/>
  <c r="M33" i="2" s="1"/>
  <c r="I253" i="2"/>
  <c r="N253" i="2" s="1"/>
  <c r="L253" i="2"/>
  <c r="M253" i="2" s="1"/>
  <c r="N232" i="2"/>
  <c r="I184" i="2"/>
  <c r="N184" i="2" s="1"/>
  <c r="L184" i="2"/>
  <c r="M184" i="2" s="1"/>
  <c r="G33" i="2"/>
  <c r="M230" i="2" l="1"/>
  <c r="M25" i="2"/>
  <c r="N152" i="2"/>
  <c r="I25" i="2"/>
  <c r="I230" i="2"/>
  <c r="N230" i="2" s="1"/>
  <c r="I33" i="2"/>
  <c r="N33" i="2" s="1"/>
  <c r="G234" i="2"/>
  <c r="G304" i="2"/>
  <c r="K304" i="2" s="1"/>
  <c r="G299" i="2"/>
  <c r="H284" i="2"/>
  <c r="G284" i="2"/>
  <c r="H249" i="2"/>
  <c r="G249" i="2"/>
  <c r="I284" i="2" l="1"/>
  <c r="N284" i="2" s="1"/>
  <c r="L284" i="2"/>
  <c r="M284" i="2" s="1"/>
  <c r="I249" i="2"/>
  <c r="L249" i="2"/>
  <c r="M249" i="2" s="1"/>
  <c r="L299" i="2"/>
  <c r="M299" i="2" s="1"/>
  <c r="I299" i="2"/>
  <c r="N299" i="2" s="1"/>
  <c r="G241" i="2"/>
  <c r="G303" i="2"/>
  <c r="M304" i="2"/>
  <c r="N304" i="2"/>
  <c r="G198" i="2"/>
  <c r="G181" i="2"/>
  <c r="G158" i="2"/>
  <c r="G137" i="2"/>
  <c r="G100" i="2"/>
  <c r="G86" i="2"/>
  <c r="H68" i="2"/>
  <c r="G68" i="2"/>
  <c r="G51" i="2"/>
  <c r="G13" i="2"/>
  <c r="H13" i="2"/>
  <c r="I13" i="2"/>
  <c r="L13" i="2"/>
  <c r="N12" i="2"/>
  <c r="I303" i="2" l="1"/>
  <c r="I137" i="2"/>
  <c r="N137" i="2" s="1"/>
  <c r="L137" i="2"/>
  <c r="M137" i="2" s="1"/>
  <c r="I181" i="2"/>
  <c r="I185" i="2" s="1"/>
  <c r="L181" i="2"/>
  <c r="M181" i="2" s="1"/>
  <c r="M185" i="2" s="1"/>
  <c r="I68" i="2"/>
  <c r="L68" i="2"/>
  <c r="M68" i="2" s="1"/>
  <c r="I100" i="2"/>
  <c r="N100" i="2" s="1"/>
  <c r="L100" i="2"/>
  <c r="M100" i="2" s="1"/>
  <c r="I158" i="2"/>
  <c r="I171" i="2" s="1"/>
  <c r="L158" i="2"/>
  <c r="M158" i="2" s="1"/>
  <c r="M171" i="2" s="1"/>
  <c r="I198" i="2"/>
  <c r="I213" i="2" s="1"/>
  <c r="L198" i="2"/>
  <c r="M198" i="2" s="1"/>
  <c r="M213" i="2" s="1"/>
  <c r="I51" i="2"/>
  <c r="I66" i="2" s="1"/>
  <c r="L51" i="2"/>
  <c r="M51" i="2" s="1"/>
  <c r="M66" i="2" s="1"/>
  <c r="I86" i="2"/>
  <c r="N86" i="2" s="1"/>
  <c r="L86" i="2"/>
  <c r="M86" i="2" s="1"/>
  <c r="N249" i="2"/>
  <c r="M303" i="2"/>
  <c r="G66" i="2"/>
  <c r="G171" i="2"/>
  <c r="G213" i="2"/>
  <c r="G150" i="2"/>
  <c r="G185" i="2"/>
  <c r="G108" i="2"/>
  <c r="K13" i="2"/>
  <c r="J13" i="2"/>
  <c r="M13" i="2"/>
  <c r="N13" i="2"/>
  <c r="N181" i="2" l="1"/>
  <c r="N51" i="2"/>
  <c r="N158" i="2"/>
  <c r="N198" i="2"/>
  <c r="N213" i="2"/>
  <c r="N171" i="2"/>
  <c r="N185" i="2"/>
  <c r="N66" i="2"/>
  <c r="N68" i="2"/>
  <c r="G15" i="2"/>
  <c r="N15" i="2" s="1"/>
  <c r="G25" i="2" l="1"/>
  <c r="F305" i="2" s="1"/>
  <c r="F306" i="2" l="1"/>
  <c r="F307" i="2" s="1"/>
  <c r="N25" i="2"/>
  <c r="K121" i="2" l="1"/>
  <c r="L121" i="2"/>
  <c r="M121" i="2" s="1"/>
  <c r="I121" i="2" l="1"/>
  <c r="N121" i="2" l="1"/>
  <c r="H233" i="2" l="1"/>
  <c r="K233" i="2"/>
  <c r="I233" i="2" l="1"/>
  <c r="N233" i="2" s="1"/>
  <c r="L233" i="2"/>
  <c r="M233" i="2" s="1"/>
  <c r="K234" i="2" l="1"/>
  <c r="K241" i="2" s="1"/>
  <c r="B7" i="3" s="1"/>
  <c r="H234" i="2"/>
  <c r="I234" i="2" l="1"/>
  <c r="L234" i="2"/>
  <c r="M234" i="2" s="1"/>
  <c r="M241" i="2" s="1"/>
  <c r="C7" i="3" l="1"/>
  <c r="N234" i="2"/>
  <c r="I241" i="2"/>
  <c r="D7" i="3" l="1"/>
  <c r="N241" i="2"/>
  <c r="E7" i="3" l="1"/>
  <c r="F7" i="3" s="1"/>
  <c r="G7" i="3" s="1"/>
  <c r="H7" i="3" s="1"/>
  <c r="K110" i="2"/>
  <c r="K150" i="2" s="1"/>
  <c r="B6" i="3" s="1"/>
  <c r="H110" i="2"/>
  <c r="L110" i="2" s="1"/>
  <c r="M110" i="2" s="1"/>
  <c r="M150" i="2" s="1"/>
  <c r="I110" i="2" l="1"/>
  <c r="I150" i="2" l="1"/>
  <c r="N110" i="2"/>
  <c r="C6" i="3"/>
  <c r="D6" i="3" l="1"/>
  <c r="N150" i="2"/>
  <c r="E6" i="3" l="1"/>
  <c r="F6" i="3" s="1"/>
  <c r="G6" i="3" s="1"/>
  <c r="H6" i="3" s="1"/>
  <c r="H105" i="2"/>
  <c r="I105" i="2" s="1"/>
  <c r="K105" i="2"/>
  <c r="N105" i="2" l="1"/>
  <c r="L105" i="2"/>
  <c r="M105" i="2" s="1"/>
  <c r="K75" i="2" l="1"/>
  <c r="K108" i="2" s="1"/>
  <c r="H75" i="2"/>
  <c r="L75" i="2" s="1"/>
  <c r="M75" i="2" s="1"/>
  <c r="B5" i="3" l="1"/>
  <c r="K305" i="2"/>
  <c r="I75" i="2"/>
  <c r="K306" i="2" l="1"/>
  <c r="K307" i="2" s="1"/>
  <c r="J309" i="2" s="1"/>
  <c r="N75" i="2"/>
  <c r="C5" i="3"/>
  <c r="C9" i="3" s="1"/>
  <c r="B9" i="3"/>
  <c r="J311" i="2" l="1"/>
  <c r="J313" i="2" s="1"/>
  <c r="D5" i="3"/>
  <c r="E5" i="3" l="1"/>
  <c r="F5" i="3" s="1"/>
  <c r="D9" i="3"/>
  <c r="J315" i="2"/>
  <c r="J317" i="2" s="1"/>
  <c r="G5" i="3" l="1"/>
  <c r="H5" i="3" s="1"/>
  <c r="H9" i="3" s="1"/>
  <c r="S79" i="2" l="1"/>
  <c r="H79" i="2" s="1"/>
  <c r="I79" i="2" l="1"/>
  <c r="L79" i="2"/>
  <c r="M79" i="2" s="1"/>
  <c r="M108" i="2" s="1"/>
  <c r="M305" i="2" s="1"/>
  <c r="M306" i="2" l="1"/>
  <c r="M307" i="2" s="1"/>
  <c r="I108" i="2"/>
  <c r="N79" i="2"/>
  <c r="I305" i="2" l="1"/>
  <c r="N108" i="2"/>
  <c r="I306" i="2" l="1"/>
  <c r="N306" i="2" s="1"/>
  <c r="N305" i="2"/>
  <c r="I307" i="2" l="1"/>
  <c r="N30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Vaz de Lima</author>
  </authors>
  <commentList>
    <comment ref="P152" authorId="0" shapeId="0" xr:uid="{153D76FA-28A5-4589-AD4A-A4AE49E9B7D2}">
      <text>
        <r>
          <rPr>
            <b/>
            <sz val="9"/>
            <color indexed="81"/>
            <rFont val="Segoe UI"/>
            <family val="2"/>
          </rPr>
          <t>Lucas Vaz de Lima:</t>
        </r>
        <r>
          <rPr>
            <sz val="9"/>
            <color indexed="81"/>
            <rFont val="Segoe UI"/>
            <family val="2"/>
          </rPr>
          <t xml:space="preserve">
ACUMULADO TOTAL = 12763,25 (ADUELA 2X2, ADUELA 4X4 E BSTCS 1500)
</t>
        </r>
      </text>
    </comment>
  </commentList>
</comments>
</file>

<file path=xl/sharedStrings.xml><?xml version="1.0" encoding="utf-8"?>
<sst xmlns="http://schemas.openxmlformats.org/spreadsheetml/2006/main" count="891" uniqueCount="572">
  <si>
    <t>ACUMULADO</t>
  </si>
  <si>
    <t xml:space="preserve"> </t>
  </si>
  <si>
    <t>DISCRIMINAÇÃO</t>
  </si>
  <si>
    <t>M</t>
  </si>
  <si>
    <t>SERVIÇOS PRELIMINARES</t>
  </si>
  <si>
    <t>M3</t>
  </si>
  <si>
    <t>M2</t>
  </si>
  <si>
    <t>KG</t>
  </si>
  <si>
    <t>m3</t>
  </si>
  <si>
    <t>.1</t>
  </si>
  <si>
    <t>.1.1</t>
  </si>
  <si>
    <t>.1.2</t>
  </si>
  <si>
    <t>.1.3</t>
  </si>
  <si>
    <t>.1.4</t>
  </si>
  <si>
    <t>.1.5</t>
  </si>
  <si>
    <t>.1.6</t>
  </si>
  <si>
    <t>.1.7</t>
  </si>
  <si>
    <t>.1.8</t>
  </si>
  <si>
    <t>.1.9</t>
  </si>
  <si>
    <t>.1.10</t>
  </si>
  <si>
    <t>.1.11</t>
  </si>
  <si>
    <t>.2</t>
  </si>
  <si>
    <t>.2.1</t>
  </si>
  <si>
    <t>.2.2</t>
  </si>
  <si>
    <t>.3</t>
  </si>
  <si>
    <t>.3.1</t>
  </si>
  <si>
    <t>.3.2</t>
  </si>
  <si>
    <t>.3.3</t>
  </si>
  <si>
    <t>.3.4</t>
  </si>
  <si>
    <t>.3.5</t>
  </si>
  <si>
    <t>.3.6</t>
  </si>
  <si>
    <t>.3.7</t>
  </si>
  <si>
    <t>.3.8</t>
  </si>
  <si>
    <t>.3.9</t>
  </si>
  <si>
    <t>.3.10</t>
  </si>
  <si>
    <t>.4</t>
  </si>
  <si>
    <t>.4.1</t>
  </si>
  <si>
    <t>.4.2</t>
  </si>
  <si>
    <t>.5</t>
  </si>
  <si>
    <t>.5.1</t>
  </si>
  <si>
    <t>m2</t>
  </si>
  <si>
    <t>M3XKM</t>
  </si>
  <si>
    <t>m</t>
  </si>
  <si>
    <t>6.7</t>
  </si>
  <si>
    <t>6.10</t>
  </si>
  <si>
    <t>REBOCO</t>
  </si>
  <si>
    <t>kg</t>
  </si>
  <si>
    <t>6.11</t>
  </si>
  <si>
    <t>6.12</t>
  </si>
  <si>
    <t>6.13</t>
  </si>
  <si>
    <t>6.14</t>
  </si>
  <si>
    <t>6.15</t>
  </si>
  <si>
    <t>6.16</t>
  </si>
  <si>
    <t>6.17</t>
  </si>
  <si>
    <t>IMPRIMAÇÃO BETUMINOSA IMPERMEABILIZANTE</t>
  </si>
  <si>
    <t>IMPRIMAÇÃO BETUMINOSA LIGANTE</t>
  </si>
  <si>
    <t>BASE DE BRITA GRADUADA</t>
  </si>
  <si>
    <t>.4.3</t>
  </si>
  <si>
    <t>.4.4</t>
  </si>
  <si>
    <t>.4.5</t>
  </si>
  <si>
    <t>.4.6</t>
  </si>
  <si>
    <t>.4.7</t>
  </si>
  <si>
    <t>.4.8</t>
  </si>
  <si>
    <t>.4.9</t>
  </si>
  <si>
    <t>.4.10</t>
  </si>
  <si>
    <t>TERRAPLENAGEM</t>
  </si>
  <si>
    <t>.2.3</t>
  </si>
  <si>
    <t>.2.4</t>
  </si>
  <si>
    <t>ABERTURA DE CAIXA ATÉ 40CM, INCLUI ESCAVAÇÃO, COMPACTAÇÃO, TRANSPORTE E PREPARO DO SUB-LEITO</t>
  </si>
  <si>
    <t>.2.5</t>
  </si>
  <si>
    <t>.2.6</t>
  </si>
  <si>
    <t>ESCAVAÇÃO MANUAL PARA FUNDAÇÕES E VALAS COM PROFUNDIDADE MÉDIA MENOR OU IGUAL À 1,50M</t>
  </si>
  <si>
    <t>.3.11</t>
  </si>
  <si>
    <t>.3.12</t>
  </si>
  <si>
    <t>.3.13</t>
  </si>
  <si>
    <t>.3.14</t>
  </si>
  <si>
    <t>.3.15</t>
  </si>
  <si>
    <t>.3.16</t>
  </si>
  <si>
    <t>.3.17</t>
  </si>
  <si>
    <t>.3.18</t>
  </si>
  <si>
    <t>.3.19</t>
  </si>
  <si>
    <t>.3.20</t>
  </si>
  <si>
    <t>.3.21</t>
  </si>
  <si>
    <t>.3.22</t>
  </si>
  <si>
    <t>.3.23</t>
  </si>
  <si>
    <t>.3.24</t>
  </si>
  <si>
    <t>.3.25</t>
  </si>
  <si>
    <t>.3.26</t>
  </si>
  <si>
    <t>.3.27</t>
  </si>
  <si>
    <t>.3.28</t>
  </si>
  <si>
    <t>.3.29</t>
  </si>
  <si>
    <t>.3.30</t>
  </si>
  <si>
    <t>.3.31</t>
  </si>
  <si>
    <t>CHAMINÉ DE POÇO DE VISITA COM ALVENARIA DE UM TIJOLO COMUM</t>
  </si>
  <si>
    <t>INSTALAÇÃO DE TAMPÃO PARA GALERIA DE ÁGUAS PLUVIAIS - ARTICULADO, EXCETO FORNECIMENTO DE TAMPÃO</t>
  </si>
  <si>
    <t>.5.2</t>
  </si>
  <si>
    <t>.5.3</t>
  </si>
  <si>
    <t>.5.4</t>
  </si>
  <si>
    <t>.5.5</t>
  </si>
  <si>
    <t>.5.6</t>
  </si>
  <si>
    <t>.5.7</t>
  </si>
  <si>
    <t>.5.8</t>
  </si>
  <si>
    <t>.6</t>
  </si>
  <si>
    <t>.7</t>
  </si>
  <si>
    <t>.8</t>
  </si>
  <si>
    <t>.9</t>
  </si>
  <si>
    <t>.10</t>
  </si>
  <si>
    <t>PAISAGISMO</t>
  </si>
  <si>
    <t>PROJETOS</t>
  </si>
  <si>
    <t>TRECHO I - DIREITA: estaca 123 à 193+12,35m  /  ESQUERDA: estaca 124 à 195+1,451m</t>
  </si>
  <si>
    <t xml:space="preserve">SONDAGEM A PERCUSSAO ATE 15M                      </t>
  </si>
  <si>
    <t xml:space="preserve">SONDAGEM A PERC. ATE 15M LOC. ALAG.&lt;50CM                    </t>
  </si>
  <si>
    <t>Elaboração de projeto executivo de sinalização horizontal, vertical e semafórica em formato A1</t>
  </si>
  <si>
    <t>folha</t>
  </si>
  <si>
    <t>Elaboração de projeto executivo de iluminação pública em formato A1</t>
  </si>
  <si>
    <t>Elaboração de projeto executivo de macro-drenagem (galerias e travessias) em formato A1</t>
  </si>
  <si>
    <t>Elaboração de projeto executivo de muros de arrimo e gabião em formato A1</t>
  </si>
  <si>
    <t>Elaboração de projeto executivo de paisagismo em formato A1</t>
  </si>
  <si>
    <t>Elaboração de "As Built" do projeto executivo elétrico em formato A1</t>
  </si>
  <si>
    <t>Elaboração de "As Built" do projeto executivo geométrico em formato A1</t>
  </si>
  <si>
    <t>Elaboração de "As Built" do projeto executivo de pavimentação em formato A1</t>
  </si>
  <si>
    <t>furos</t>
  </si>
  <si>
    <t>INSTALAÇÕES PRELIMINARES</t>
  </si>
  <si>
    <t>Placa de identificação para obra</t>
  </si>
  <si>
    <t>m²</t>
  </si>
  <si>
    <t>Construção provisória em madeira - fornecimento e montagem</t>
  </si>
  <si>
    <t>Desmobilização de construção provisória</t>
  </si>
  <si>
    <t>Banheiro químico, modelo Standard, com manutenção conforme exigências da CETESB</t>
  </si>
  <si>
    <t>unxmês</t>
  </si>
  <si>
    <t>Proteção de fachada com tela de nylon</t>
  </si>
  <si>
    <t>Tapume fixo em painel OSB - espessura 10 mm</t>
  </si>
  <si>
    <t>LIMP.TERRENO C/DEST.ARV.PERIMETRO&lt;=78CM</t>
  </si>
  <si>
    <t>DERRUBADA E DEST.ARV.C/PERIMETRO&gt;78CM</t>
  </si>
  <si>
    <t>un</t>
  </si>
  <si>
    <t>CARGA DE MATERIAL LIMPEZA</t>
  </si>
  <si>
    <t>m³</t>
  </si>
  <si>
    <t>TRANSPORTE MATERIAL DE LIMPEZA ATE 1 KM</t>
  </si>
  <si>
    <t>m³xkm</t>
  </si>
  <si>
    <t>TRANSPORTE MATERIAL DE LIMP.ALEM DE 1 KM</t>
  </si>
  <si>
    <t>ESPALHAMENTO/REGULARIZACAO/COMPACTACAO DE MATERIAL EM BOTA‐FORA</t>
  </si>
  <si>
    <t>ESCAVACAO E CARGA DE MATERIAL DE 1/2A CATEGORIA</t>
  </si>
  <si>
    <t>ESCAV.CARGA MATERIAL 2 CAT. C/EXPLOSIVO</t>
  </si>
  <si>
    <t>TRANSPORTE DE 1/2 CATEGORIA ATE 1 KM</t>
  </si>
  <si>
    <t>m3*km</t>
  </si>
  <si>
    <t>Compactação de aterro mecanizado a 100% PN, sem fornecimento de solo em campo aberto</t>
  </si>
  <si>
    <t>DEMOLIÇÃO DE CONCRETO SIMPLES</t>
  </si>
  <si>
    <t>DEMOLIÇÃO DE ALVENARIA (mecanizada)</t>
  </si>
  <si>
    <t>DEMOLIÇÃO DE CONCRETO ARMADO</t>
  </si>
  <si>
    <t>REMOÇÃO DE ENTULHO ALÉM DO PRIMEIRO KM</t>
  </si>
  <si>
    <t>MURO DE ARRIMO H=1,40M, COM DRENAGEM</t>
  </si>
  <si>
    <t>MURO DE ARRIMO H=2,50M, COM DRENAGEM</t>
  </si>
  <si>
    <t>MURO DE ARRIMO H=3,50M, COM DRENAGEM</t>
  </si>
  <si>
    <t>BROCA DE CONCRETO - DIÂMETRO DE 20CM</t>
  </si>
  <si>
    <t>CHAPISCO COMUM - ARGAMASSA DE CIMENTO E AREIA 1:3</t>
  </si>
  <si>
    <t>FV.01 - MURO DE FECHO, TIJOLO APARENTE  E ELEMENTO DE CONCRETO MF.01/EDIF - FUNDAÇÃO COM BROCA</t>
  </si>
  <si>
    <t>MURO EM PLACAS DE CONCRETO PRÉ-MOLDADAS, ESP.=3CM, INCLUINDO PILARES E RESPECTIVAS FUNDAÇÕES - COLOCADO</t>
  </si>
  <si>
    <t>FC.04 - CERCA DE TELA GALVANIZADA MOURÃO EM "T" DE CONCRETO</t>
  </si>
  <si>
    <t>ALVENARIA DE BLOCOS DE CONCRETO 14 X 19 X 39CM</t>
  </si>
  <si>
    <t>ALVENARIA DE EMBASAMENTO - TIJOLOS MACIÇOS COMUNS</t>
  </si>
  <si>
    <t>FORMA COMUM, INCLUSIVE CIMBRAMENTO</t>
  </si>
  <si>
    <t>FORNECIMENTO  E APLICAÇÃO DE CONCRETO USINADO FCK=20,0MPA - BOMBEADO</t>
  </si>
  <si>
    <t>FORNECIMENTO E APLICAÇÃO DE AÇO CA-50 - DIÂMETRO &lt;  1/2"</t>
  </si>
  <si>
    <t>FORNECIMENTO E APLICAÇÃO DE AÇO CA-50 - DIÂMETRO &gt; OU = 1/2"</t>
  </si>
  <si>
    <t>GRADIL DE FERRO MODELO PMSP, INCLUI PINTURA</t>
  </si>
  <si>
    <t>TAPUME CHAPA COMPENSADA RESINADA 10MM</t>
  </si>
  <si>
    <t>PAVIMENTAÇÃO (Marginal, Alça de Acesso, Entornos e Retornos)</t>
  </si>
  <si>
    <t>CARGA E REMOÇÃO DE TERRA ATÉ A DISTÂNCIA MÉDIA DE 1,0KM</t>
  </si>
  <si>
    <t>TRANSPORTE DE 1/2 CATEGORIA ATE 15 KM</t>
  </si>
  <si>
    <t>TRANSPORTE DE 1/2 CATEGORIA ALEM DE 15KM</t>
  </si>
  <si>
    <t>REFORÇO DE SUB-LEITO/SUB-BASE DE SOLO MELHORADO COM CAL 4,0% EM PESO</t>
  </si>
  <si>
    <t xml:space="preserve">SUB-BASE OU BASE DE BICA CORRIDA        </t>
  </si>
  <si>
    <t>BASE DE BRITA GRADUADA TRATADA COM CIMENTO - BGTC</t>
  </si>
  <si>
    <t xml:space="preserve">SUB-BASE OU BASE DE MACADAME SECO          </t>
  </si>
  <si>
    <t xml:space="preserve">SUB-BASE OU BASE DE PEDRA RACHAO, CONF. ET-POO/042 (DERSA)     </t>
  </si>
  <si>
    <t xml:space="preserve">IMPRIMAÇÃO BETUMINOSA LIGANTE      </t>
  </si>
  <si>
    <t>BASE DE BINDER DENSO (SEM TRANSPORTE)</t>
  </si>
  <si>
    <t>TRANSPORTE DE BINDER ALÉM DO PRIMEIRO KM</t>
  </si>
  <si>
    <t>REVESTIMENTO DE CONCRETO ASFÁLTICO (SEM TRANSPORTE)</t>
  </si>
  <si>
    <t>TRANSPORTE DE CONCRETO ASFÁLTICO ALÉM DO PRIMEIRO KM</t>
  </si>
  <si>
    <t>FRESAGEM DE PAVIMENTO ASFÁLTICO COM ESPESSURA ATÉ 5CM, EM VIAS ARTERIAIS, INCLUSIVE REMOÇÃO DO MATERIAL FRESADO ATÉ 10KM E VARRIÇÃO</t>
  </si>
  <si>
    <t>ARRANCAMENTO DE GUIAS, INCLUI CARGA EM CAMINHÃO</t>
  </si>
  <si>
    <t>TRANSPORTE DE GUIAS</t>
  </si>
  <si>
    <t>mxkm</t>
  </si>
  <si>
    <t>DEMOLIÇÃO DE PAVIMENTO ASFÁLTICO, INCLUSIVE CAPA, INCLUI CARGA NO CAMINHÃO</t>
  </si>
  <si>
    <t>TRANSPORTE DE PAVIMENTO ASFÁLTICO</t>
  </si>
  <si>
    <t>m²xkm</t>
  </si>
  <si>
    <t>SARJETA DE CONCRETO FCK 20 MPA (extrusada)</t>
  </si>
  <si>
    <t>GUIA DE CONCRETO FCK 20 MPA (extrusada)</t>
  </si>
  <si>
    <t>CONSTRUÇÃO DE SARJETA OU SARJETÃO DE CONCRETO - FCK=25,0MPA (0,60 a 1,20m)</t>
  </si>
  <si>
    <t>PASSEIO DE CONCRETO, FCK=25MPA, INCLUINDO PREPARO DA CAIXA E LASTRO DE BRITA</t>
  </si>
  <si>
    <t>PASSEIO DE CONCRETO, FCK=30MPA, INCLUINDO PREPARO DA CAIXA E LASTRO DE BRITA (CICLOVIA)</t>
  </si>
  <si>
    <t>SINALIZAÇÃO HORIZONTAL COM TINTA DE RESINA ACRÍLICA</t>
  </si>
  <si>
    <t>SINALIZAÇÃO HORIZONTAL C/ TERMOPLASTICO HOT-SPRAY</t>
  </si>
  <si>
    <t>LADRINHO HIDRÁULICO 25X25CM E=2CM PISO TÁTIL DE ALERTA</t>
  </si>
  <si>
    <t>LADRINHO HIDRÁULICO 25X25CM E=2CM PISO TÁTIL DIRECIONAL</t>
  </si>
  <si>
    <t>FORNECIMENTO E INSTALAÇÃO DE DEFENSA METÁLICA GALVANIZADA, TIPO SEMI-MALEÁVEL SIMPLES</t>
  </si>
  <si>
    <t>DRENO DE BRITA</t>
  </si>
  <si>
    <t>FORNECIMENTO E ASSENTAMENTO DE TUBO DE PEAD CORRUGADO E PERFURADOPARA DRENAGEM - DIÂMETRO 4,0" (EM ACORDO COM AS NORMAS DNIT 093/06, NBR 15073 E NBR 14692)</t>
  </si>
  <si>
    <t>.7.1</t>
  </si>
  <si>
    <t>.4.11</t>
  </si>
  <si>
    <t>.4.12</t>
  </si>
  <si>
    <t>.4.13</t>
  </si>
  <si>
    <t>.4.14</t>
  </si>
  <si>
    <t>.4.15</t>
  </si>
  <si>
    <t>.4.16</t>
  </si>
  <si>
    <t>.4.17</t>
  </si>
  <si>
    <t>.4.18</t>
  </si>
  <si>
    <t>.4.19</t>
  </si>
  <si>
    <t>.4.20</t>
  </si>
  <si>
    <t>.4.21</t>
  </si>
  <si>
    <t>.4.22</t>
  </si>
  <si>
    <t>.4.23</t>
  </si>
  <si>
    <t>.4.24</t>
  </si>
  <si>
    <t>.4.25</t>
  </si>
  <si>
    <t>.4.26</t>
  </si>
  <si>
    <t>.4.27</t>
  </si>
  <si>
    <t>.4.28</t>
  </si>
  <si>
    <t>.4.29</t>
  </si>
  <si>
    <t>.4.30</t>
  </si>
  <si>
    <t>.4.31</t>
  </si>
  <si>
    <t>.4.32</t>
  </si>
  <si>
    <t>.4.33</t>
  </si>
  <si>
    <t>.4.34</t>
  </si>
  <si>
    <t>.4.35</t>
  </si>
  <si>
    <t>.4.36</t>
  </si>
  <si>
    <t>.4.37</t>
  </si>
  <si>
    <t>.4.38</t>
  </si>
  <si>
    <t>.4.39</t>
  </si>
  <si>
    <t>.4.40</t>
  </si>
  <si>
    <t>DRENAGEM</t>
  </si>
  <si>
    <t>ESCAVAÇÃO MECÂNICA PARA FUNDAÇÕES E VALAS COM PROFUNDIDADE MENOR OU IGUAL À 4,0M</t>
  </si>
  <si>
    <t>REATERRO DE VALAS, INCLUSIVE COMPACTAÇÃO</t>
  </si>
  <si>
    <t xml:space="preserve">ESCORAMENTO DE VALAS/CAVAS P/FUND.CONT.               </t>
  </si>
  <si>
    <t xml:space="preserve">ESCORAMENTO DE VALAS/CAVAS P/FUND.DESC.     </t>
  </si>
  <si>
    <t>ESCORAMENTO DE SOLO PONTALETADO</t>
  </si>
  <si>
    <t>ESCORAMENTO DE SOLO ESPECIAL</t>
  </si>
  <si>
    <t>LASTRO DE BRITA E PÓ DE PEDRA</t>
  </si>
  <si>
    <t xml:space="preserve">TUBO DE CONCRETO D=0,40M CLASSE PA-2          </t>
  </si>
  <si>
    <t xml:space="preserve">TUBO DE CONCRETO D=0,50M CLASSE PA-2        </t>
  </si>
  <si>
    <t xml:space="preserve">TUBO DE CONCRETO D=0,60M CLASSE PA-2      </t>
  </si>
  <si>
    <t xml:space="preserve">TUBO DE CONCRETO D=0,80M CLASSE PA-2 </t>
  </si>
  <si>
    <t xml:space="preserve">TUBO DE CONCRETO D=1,00M CLASSE PA-2             </t>
  </si>
  <si>
    <t xml:space="preserve">TUBO DE CONCRETO D=1,50M CLASSE PA-2            </t>
  </si>
  <si>
    <t>CAIXA DE LIGAÇÃO OU INSPEÇÃO - ESCAVAÇÃO E APILOAMENTO</t>
  </si>
  <si>
    <t>CAIXA DE LIGAÇÃO OU INSPEÇÃO - LASTRO DE CONCRETO (FUNDO)</t>
  </si>
  <si>
    <t>CAIXA DE LIGAÇÃO OU INSPEÇÃO - ALVENARIA DE 1 TIJOLO, REVESTIDA</t>
  </si>
  <si>
    <t>CAIXA DE LIGAÇÃO OU INSPEÇÃO - TAMPA DE CONCRETO</t>
  </si>
  <si>
    <t>POÇO DE VISITA EM ALVENARIA ESTRUTURAL - Ø1,00 COM ALTURA ATÉ 3,30m</t>
  </si>
  <si>
    <t>POÇO DE VISITA EM ALVENARIA ESTRUTURAL - Ø1,20 COM ALTURA ATÉ 3,30m</t>
  </si>
  <si>
    <t>POÇO DE VISITA EM ALVENARIA ESTRUTURAL - Ø1,40/Ø1,50 COM ALTURA ATÉ 3,30m</t>
  </si>
  <si>
    <t>POÇO DE VISITA EM CONCRETO ARMADO - Ø1,80/Ø2,20/Ø2,50 COM ALTURA ATÉ 5,00m</t>
  </si>
  <si>
    <t>FORNECIMENTO DE TAMPÃO DE FERRO FUNDIDO DÚCTIL CLASSE MÍNIMA 400 (40t) D=600MM - NBR 10160 ARTICULADO - P/GAL. ÁGUAS PLUV.</t>
  </si>
  <si>
    <t>BOCA DE LOBO SIMPLES</t>
  </si>
  <si>
    <t>BOCA DE LOBO DUPLA</t>
  </si>
  <si>
    <t>BOCA DE LOBO TRIPLA</t>
  </si>
  <si>
    <t>BOCA DE LOBO QUADRUPLA</t>
  </si>
  <si>
    <t>MURO DE ALA SIMPLES COM SAÍDA Ø500mm (Tipo A2 - DER/SP)</t>
  </si>
  <si>
    <t>MURO DE ALA SIMPLES COM SAÍDA Ø600mm (Tipo C1 - DER/SP)</t>
  </si>
  <si>
    <t>MURO DE ALA SIMPLES COM SAÍDA Ø1000mm (Tipo C1 - DER/SP)</t>
  </si>
  <si>
    <t>MURO DE ALA COM ESCADA HIDRÁULICA COM SAÍDA Ø600mm (Tipo C1 - DER/SP)</t>
  </si>
  <si>
    <t>MURO DE ALA COM ESCADA HIDRÁULICA COM SAÍDA Ø800mm (Tipo C1 - DER/SP)</t>
  </si>
  <si>
    <t>MURO DE ALA COM ESCADA HIDRÁULICA COM SAÍDA Ø1500mm (Tipo C1 - DER/SP)</t>
  </si>
  <si>
    <t>ESGOTAMENTO D'ÁGUA COM BOMBA SUBMERSA - POTÊNCIA ATÉ 5HP</t>
  </si>
  <si>
    <t>hpxh</t>
  </si>
  <si>
    <t>.5.9</t>
  </si>
  <si>
    <t>.5.10</t>
  </si>
  <si>
    <t>.5.11</t>
  </si>
  <si>
    <t>.5.12</t>
  </si>
  <si>
    <t>.5.13</t>
  </si>
  <si>
    <t>.5.14</t>
  </si>
  <si>
    <t>.5.15</t>
  </si>
  <si>
    <t>.5.16</t>
  </si>
  <si>
    <t>.5.17</t>
  </si>
  <si>
    <t>.5.18</t>
  </si>
  <si>
    <t>.5.19</t>
  </si>
  <si>
    <t>.5.20</t>
  </si>
  <si>
    <t>.5.21</t>
  </si>
  <si>
    <t>.5.22</t>
  </si>
  <si>
    <t>.5.23</t>
  </si>
  <si>
    <t>.5.24</t>
  </si>
  <si>
    <t>.5.25</t>
  </si>
  <si>
    <t>.5.26</t>
  </si>
  <si>
    <t>.5.27</t>
  </si>
  <si>
    <t>.5.28</t>
  </si>
  <si>
    <t>.5.29</t>
  </si>
  <si>
    <t>.5.30</t>
  </si>
  <si>
    <t>.5.31</t>
  </si>
  <si>
    <t>.5.32</t>
  </si>
  <si>
    <t>.5.33</t>
  </si>
  <si>
    <t>.5.34</t>
  </si>
  <si>
    <t>.5.35</t>
  </si>
  <si>
    <t>.5.36</t>
  </si>
  <si>
    <t>.5.37</t>
  </si>
  <si>
    <t>.5.38</t>
  </si>
  <si>
    <t>.5.39</t>
  </si>
  <si>
    <t>.5.40</t>
  </si>
  <si>
    <t>TRAVESSIAS - CÓRREGO ITANGUÁ</t>
  </si>
  <si>
    <t xml:space="preserve">ESCAV.CARGA SOLO MOLE SOB LAMINA D´AGUA                                        </t>
  </si>
  <si>
    <t xml:space="preserve">TRANSPORTE DE SOLO MOLE ALEM 2 KM                                              </t>
  </si>
  <si>
    <t>LOCAL LEGALIZADO PARA BOTA-FORA - RESÍDUO CLASSE IIB</t>
  </si>
  <si>
    <t>ton</t>
  </si>
  <si>
    <t xml:space="preserve">FUNDACAO DE ATERRO C/PED.RACHAO                                                </t>
  </si>
  <si>
    <t xml:space="preserve">SUB-BASE OU BASE DE BICA CORRIDA                                               </t>
  </si>
  <si>
    <t xml:space="preserve">CONCRETO FCK 18 MPA                                                            </t>
  </si>
  <si>
    <t>ADUELAS PRÉ MOLDADAS DE CONCRETO 2x □2,00x2,00 M BIPARTIDAS - Aterro de 1,0m</t>
  </si>
  <si>
    <t>ADUELAS PRÉ MOLDADAS DE CONCRETO 2x □4,00X4,00 M BIPARTIDAS - Aterro de 3,0m</t>
  </si>
  <si>
    <t>ADUELAS PRÉ MOLDADAS DE CONCRETO 2x □4,00X4,00 M BIPARTIDAS - Aterro de 4,0m</t>
  </si>
  <si>
    <t xml:space="preserve">FORMA PL.P/CONCRETO PROTENDIDO OU APAR.      </t>
  </si>
  <si>
    <t>CONCRETO FCK 25 MPA</t>
  </si>
  <si>
    <t xml:space="preserve">ESCAVACAO E CARGA DE MATERIAL DE 1/2A CATEGORIA                                </t>
  </si>
  <si>
    <t xml:space="preserve">TRANSPORTE DE 1/2 CATEGORIA ALEM DE 15KM                                       </t>
  </si>
  <si>
    <t xml:space="preserve">COMPACTACAO DE ATERRO MAIOR/IGUAL 95% PS                                       </t>
  </si>
  <si>
    <t>.6.1</t>
  </si>
  <si>
    <t>.6.2</t>
  </si>
  <si>
    <t>.6.3</t>
  </si>
  <si>
    <t>.6.4</t>
  </si>
  <si>
    <t>.6.5</t>
  </si>
  <si>
    <t>.6.6</t>
  </si>
  <si>
    <t>6.8</t>
  </si>
  <si>
    <t>6.9</t>
  </si>
  <si>
    <t>6.18</t>
  </si>
  <si>
    <t>6.19</t>
  </si>
  <si>
    <t>CONTENÇÃO DE MARGENS - GABIÕES</t>
  </si>
  <si>
    <t>ESCAV.CARGA SOLO MOLE SOB LAMINA D´AGUA</t>
  </si>
  <si>
    <t>TRANSPORTE DE SOLO MOLE ALEM 2 KM</t>
  </si>
  <si>
    <t>FUNDACAO DE ATERRO C/PED.RACHAO</t>
  </si>
  <si>
    <t>FORNECIMENTO E COLOCAÇÃO DE GABIÃO TIPO CAIXA, H = 0,50 M, DE MALHA 8 X 10CM, GALVANIZADO, DE FIO Ø = 2,7MM</t>
  </si>
  <si>
    <t>FORNECIMENTO E COLOCAÇÃO DE GABIÃO TIPO CAIXA, H = 1,00M, DE MALHA 8 X 10CM, GALVANIZADO, DE FIO Ø = 2,7MM</t>
  </si>
  <si>
    <t>FORNECIMENTO  E COLOCAÇÃO DE GABIÃO TIPO COLCHÃO RENO, H = 0,23M, DE MALHA 6 X 8CM, GALVANIZADO, REVESTIDO EM PVC, DE FIO Ø = 2,0MM</t>
  </si>
  <si>
    <t>.7.2</t>
  </si>
  <si>
    <t>.7.3</t>
  </si>
  <si>
    <t>.7.4</t>
  </si>
  <si>
    <t>.7.5</t>
  </si>
  <si>
    <t>.7.6</t>
  </si>
  <si>
    <t>.7.7</t>
  </si>
  <si>
    <t>.7.8</t>
  </si>
  <si>
    <t>.7.9</t>
  </si>
  <si>
    <t>.7.10</t>
  </si>
  <si>
    <t>.7.11</t>
  </si>
  <si>
    <t>.7.12</t>
  </si>
  <si>
    <t>HORIZONTAL</t>
  </si>
  <si>
    <t>SINALIZAÇÃO</t>
  </si>
  <si>
    <t>Sinalização horizontal com tinta de resina acrílica</t>
  </si>
  <si>
    <t>Sinalização horizontal com termoplast Hot-Spray</t>
  </si>
  <si>
    <t>Tachão monodirecional refletivo de vidro</t>
  </si>
  <si>
    <t>unid</t>
  </si>
  <si>
    <t>Tachão bidirecional refletivo de vidro</t>
  </si>
  <si>
    <t>40,01</t>
  </si>
  <si>
    <t>VERTICAL - ORIENTAÇÃO, ADV. E REGULAMENTAÇÃO</t>
  </si>
  <si>
    <t xml:space="preserve">Suporte tubular galvanizado 2 1/2"                                             </t>
  </si>
  <si>
    <t>P51 - Coluna simples em tubo galvanizado Ø76,20mm; esp: 3,75mm; comp.: 2,70m</t>
  </si>
  <si>
    <t>P53 - Coluna dupla em tubo galvanizado Ø101,60mm; esp: 4,25mm; comp.: 5,25m</t>
  </si>
  <si>
    <t>P55 - Braço projetado light Ø76,2mm; esp.: 3,75mm; comp.: 2,70m (fixado em poste de concreto), inclusive abraçadeira 5/16", dividida em 4 partes 90º</t>
  </si>
  <si>
    <t>.8.1</t>
  </si>
  <si>
    <t>.8.2</t>
  </si>
  <si>
    <t>.8.3</t>
  </si>
  <si>
    <t>.8.4</t>
  </si>
  <si>
    <t>.8.5</t>
  </si>
  <si>
    <t>.8.6</t>
  </si>
  <si>
    <t>.8.7</t>
  </si>
  <si>
    <t>.8.8</t>
  </si>
  <si>
    <t>.8.9</t>
  </si>
  <si>
    <t>P57 - Coluna em tubo galvanizado Ø101,60mm; esp: 4,25mm; comp.: 5,25m</t>
  </si>
  <si>
    <t>P57 - Braço em tubo galvanizado Ø76,20mm; esp: 3,75mm; comp.: 3,15m</t>
  </si>
  <si>
    <t>P59 - Coluna em tubo galvanizado Ø101,60mm; esp: 4,25mm; comp.: 5,25m</t>
  </si>
  <si>
    <t>P59 - Braço em tubo galvanizado Ø76,20mm; esp: 3,75mm; comp.: 3,15m (duplo)</t>
  </si>
  <si>
    <t>Fornecimento e transporte de placa de alumínio GT+GT (regulamentação / advertência)</t>
  </si>
  <si>
    <t>Fornecimento e transporte de placa de alumínio GT+AI (indicação e orientação)</t>
  </si>
  <si>
    <t>Colocação de placa em suporte madeira/metalico-solo</t>
  </si>
  <si>
    <t>.8.10</t>
  </si>
  <si>
    <t>.8.11</t>
  </si>
  <si>
    <t>.8.12</t>
  </si>
  <si>
    <t>.8.13</t>
  </si>
  <si>
    <t>.8.14</t>
  </si>
  <si>
    <t>.8.15</t>
  </si>
  <si>
    <t>.8.16</t>
  </si>
  <si>
    <t>SEMAFÓRICA</t>
  </si>
  <si>
    <t>Grupo Focal Veicular padrão SEMCO com lampadas em LED's (completo lentes e suporte)</t>
  </si>
  <si>
    <t>Grupo Focal pedestre quadrado com contador regressivo em LED's (completo lentes e suporte)</t>
  </si>
  <si>
    <t>Botoeira de pedestre convencial</t>
  </si>
  <si>
    <t>Braço projetado cilíndrico (Verificar especificação URBES)</t>
  </si>
  <si>
    <t>Coluna para braço projetado cilíndrica (Verificar especificação URBES)</t>
  </si>
  <si>
    <t>Coluna simples cilíndrica (Verificar especificação URBES)</t>
  </si>
  <si>
    <t>Controlador Flexcon III 188 de 8 Fases</t>
  </si>
  <si>
    <t>.8.17</t>
  </si>
  <si>
    <t>.8.18</t>
  </si>
  <si>
    <t>.8.19</t>
  </si>
  <si>
    <t>.8.20</t>
  </si>
  <si>
    <t>.8.21</t>
  </si>
  <si>
    <t>.8.22</t>
  </si>
  <si>
    <t>.8.23</t>
  </si>
  <si>
    <t>ILUMINAÇÃO PÚBLICA</t>
  </si>
  <si>
    <t>und</t>
  </si>
  <si>
    <t>.9.1</t>
  </si>
  <si>
    <t>.9.2</t>
  </si>
  <si>
    <t>.9.3</t>
  </si>
  <si>
    <t>Envelopamento de condutores para interligação das caixas de passagem, conforme projeto, incluso os serviços: eletroduto de PEAD, 1 1/2", escavação, apiloamento, concreto FCK 15MPA.</t>
  </si>
  <si>
    <t>Envelopamento de condutores para interligação das caixas de passagem, aos postes, incluso os serviços: escavação, apiloamento, concreto FCK 15MPa para eletroduto de PVC flexível 3/4"</t>
  </si>
  <si>
    <t>Caixa de passagem pré fabricada de concreto (40x40x60)cm, incluso: escavação, apiloamento, reaterro, dreno de brita e tampa.</t>
  </si>
  <si>
    <t>Ponto de Medição Padrão CPFL</t>
  </si>
  <si>
    <t>Comando de Iluminação Coletivo</t>
  </si>
  <si>
    <t>Quadro para Comando</t>
  </si>
  <si>
    <t>Cabo 16,00mm² - isolamento para 1,0KV - classe 4 - flexível</t>
  </si>
  <si>
    <t>Caminhão carga seca capacidade 8 Ton com guindaste</t>
  </si>
  <si>
    <t>h</t>
  </si>
  <si>
    <t>INFOVIAS (Infraestrutura para fibra-ótica)</t>
  </si>
  <si>
    <t>Envelopamento de condutores para interligação das caixas de passagem, conforme projeto, incluso os serviços: eletroduto de PEAD, 4", escavação, apiloamento, concreto FCK 13,5 MPA.</t>
  </si>
  <si>
    <t>.9.4</t>
  </si>
  <si>
    <t>.9.5</t>
  </si>
  <si>
    <t>.9.6</t>
  </si>
  <si>
    <t>.9.7</t>
  </si>
  <si>
    <t>.9.8</t>
  </si>
  <si>
    <t>.9.9</t>
  </si>
  <si>
    <t>.9.10</t>
  </si>
  <si>
    <t>.9.11</t>
  </si>
  <si>
    <t>.9.12</t>
  </si>
  <si>
    <t>.9.13</t>
  </si>
  <si>
    <t>.9.14</t>
  </si>
  <si>
    <t>TERRA PREPARADA PARA PLANTIO</t>
  </si>
  <si>
    <t>Plantio de grama em placas</t>
  </si>
  <si>
    <t>.10.1</t>
  </si>
  <si>
    <t>.10.2</t>
  </si>
  <si>
    <t>ALECRIM DE CAMPINAS (HOLOCALIX GLAZZIOVII)</t>
  </si>
  <si>
    <t>IPÊ BRANCO (HANDROANTHUS ROSEO ALBA)</t>
  </si>
  <si>
    <t>QUARESMEIRA (TIBOUCHINA GRANULOSA)</t>
  </si>
  <si>
    <t>JERIVÁ (ARECASTRUM ROMANZOFFIANUM)</t>
  </si>
  <si>
    <t>Árvore Ornamental Chuva de Ouro - h=2,00m</t>
  </si>
  <si>
    <t>IPÊ AMARELO (TABEBUIA CHRYSOTRICHA)</t>
  </si>
  <si>
    <t>Plantio de Arbustos (Cyca)</t>
  </si>
  <si>
    <t>.10.3</t>
  </si>
  <si>
    <t>.10.4</t>
  </si>
  <si>
    <t>.10.5</t>
  </si>
  <si>
    <t>.10.6</t>
  </si>
  <si>
    <t>.10.7</t>
  </si>
  <si>
    <t>.10.8</t>
  </si>
  <si>
    <t>.10.9</t>
  </si>
  <si>
    <t>OAE SOBRE O CÓRREGO ITANGUÁ, na Avenida Dr. Américo Figueiredo</t>
  </si>
  <si>
    <t>ELEMENTOS PARA LOCAÇÃO DE OBRA DE ARTE</t>
  </si>
  <si>
    <t>M/EIXO</t>
  </si>
  <si>
    <t>DEMOLIÇÃO DE ALVENARIA</t>
  </si>
  <si>
    <t>MXKM</t>
  </si>
  <si>
    <t>M2XKM</t>
  </si>
  <si>
    <t>.1.12</t>
  </si>
  <si>
    <t>.1.13</t>
  </si>
  <si>
    <t>.1.14</t>
  </si>
  <si>
    <t>.1.15</t>
  </si>
  <si>
    <t>.1.16</t>
  </si>
  <si>
    <t>.1.17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</si>
  <si>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</si>
  <si>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</si>
  <si>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</si>
  <si>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</si>
  <si>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</si>
  <si>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</si>
  <si>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COMPACTACAO MANUAL,REATERRO SOLO LOCAL</t>
  </si>
  <si>
    <t>COMPACTAÇÃO DE TERRA, MEDIDA NO ATERRO</t>
  </si>
  <si>
    <t>.2.7</t>
  </si>
  <si>
    <t>.2.8</t>
  </si>
  <si>
    <t>2.</t>
  </si>
  <si>
    <t>.2.9</t>
  </si>
  <si>
    <t>ESC.TUB.CEU ABERTO 1/2 CAT. ‐ SOLO</t>
  </si>
  <si>
    <t>ESC.TUB.AR COMPRIMIDO 1/2 CAT ‐ SOLO</t>
  </si>
  <si>
    <t>ESC.TUB.CEU ABERTO 3 CAT.‐ ROCHA</t>
  </si>
  <si>
    <t>ESC.TUB.AR COMPRIMIDO 3 CAT. ‐ ROCHA</t>
  </si>
  <si>
    <t>FORMA CURVA PARA CONCRETO APARENTE</t>
  </si>
  <si>
    <t>ARMADURA EM AÇO CA-50</t>
  </si>
  <si>
    <t>.2.10</t>
  </si>
  <si>
    <t>.2.11</t>
  </si>
  <si>
    <t>.2.12</t>
  </si>
  <si>
    <t>.2.13</t>
  </si>
  <si>
    <t>.2.14</t>
  </si>
  <si>
    <t>.2.15</t>
  </si>
  <si>
    <t>INFRAESTRUTURA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</si>
  <si>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</si>
  <si>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</si>
  <si>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</si>
  <si>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</si>
  <si>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</si>
  <si>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</si>
  <si>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</si>
  <si>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</si>
  <si>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</si>
  <si>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</si>
  <si>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</si>
  <si>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</si>
  <si>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</si>
  <si>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</si>
  <si>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</si>
  <si>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</si>
  <si>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</si>
  <si>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</si>
  <si>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</si>
  <si>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DE PROJETOS</t>
  </si>
  <si>
    <t>TOTAL DE INSTALAÇÕES PRELIMINARES</t>
  </si>
  <si>
    <t>TOTAL DE TERRAPLANAGEM</t>
  </si>
  <si>
    <t>TOTAL DE PAVIMENTAÇÃO</t>
  </si>
  <si>
    <t>TOTAL DE DRENAGEM</t>
  </si>
  <si>
    <t>TOTAL DE TRAVESSIAS</t>
  </si>
  <si>
    <t>TOTAL CONTENÇÃO DE MARGENS</t>
  </si>
  <si>
    <t>TOTAL SINALIZAÇÃO</t>
  </si>
  <si>
    <t>TOTAL ILUMINAÇÃO PÚBLICA</t>
  </si>
  <si>
    <t>TOTAL PAISAGISMO</t>
  </si>
  <si>
    <t>TOTAL OAE</t>
  </si>
  <si>
    <t xml:space="preserve">                                                              PLANILHA DE MEDIÇÃO                                                             </t>
  </si>
  <si>
    <t>CONSÓRCIO JOFEGE / JULIO &amp;  JULIO - COMPLEXO VIÁRIO SOROCABA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</si>
  <si>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</si>
  <si>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</si>
  <si>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 xml:space="preserve">CLIENTE: PREFEITURA MUNICIPAL DE SOROCABA 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</si>
  <si>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</si>
  <si>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</si>
  <si>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</si>
  <si>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</si>
  <si>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</si>
  <si>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</si>
  <si>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</si>
  <si>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</si>
  <si>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</si>
  <si>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</si>
  <si>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</si>
  <si>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Total Custo</t>
  </si>
  <si>
    <t>Total Geral</t>
  </si>
  <si>
    <t>TOTAL DESTA MEDIÇÃO</t>
  </si>
  <si>
    <t>BDI 35,00%</t>
  </si>
  <si>
    <t>CÓDIGO</t>
  </si>
  <si>
    <t>SIM N°. 356/2019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</si>
  <si>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</si>
  <si>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</si>
  <si>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</si>
  <si>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</si>
  <si>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</si>
  <si>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</si>
  <si>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</si>
  <si>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</si>
  <si>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10°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</si>
  <si>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</si>
  <si>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</si>
  <si>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</si>
  <si>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</si>
  <si>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</si>
  <si>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</si>
  <si>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</si>
  <si>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</si>
  <si>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r>
      <t>m</t>
    </r>
    <r>
      <rPr>
        <vertAlign val="superscript"/>
        <sz val="14"/>
        <rFont val="Arial"/>
        <family val="2"/>
      </rPr>
      <t>3</t>
    </r>
  </si>
  <si>
    <r>
      <t>m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>*km</t>
    </r>
  </si>
  <si>
    <r>
      <rPr>
        <u/>
        <sz val="14"/>
        <rFont val="Arial"/>
        <family val="2"/>
      </rPr>
      <t>CONJUNTO DE POSTE 10,0m, NÚCLEO E LUMINÁRIAS 1 PÉTALA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</si>
  <si>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10,0m, NÚCLEO E LUMINÁRIAS 2 PÉTALAS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</si>
  <si>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8,0m, NÚCLEO E LUMINÁRIAS 1 PÉTALA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</si>
  <si>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10,0m, NÚCLEO E LUMINÁRIAS 3 PÉTALAS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</si>
  <si>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9° MEDIÇÃO</t>
  </si>
  <si>
    <t>11° MEDIÇÃO</t>
  </si>
  <si>
    <t>FORNECIMENTO E COLOCAÇÃO DE MANTA GEOTÊXTIL COM RESISTÊNCIA À TRAÇÃO LONGITund.INAL DE 9KN/M E TRAÇÃO TRANSVERSAL DE 8KN/M</t>
  </si>
  <si>
    <t>und.</t>
  </si>
  <si>
    <t>FORNECIMENTO E COLOCAÇÃO DE MANTA GEOTÊXTIL COM RESISTÊNCIA À TRAÇÃO LONGITund.INAL DE 10KN/M E TRAÇÃO TRANSVERSAL DE 9KN/M EM JUNTA DE DILATAÇÃO</t>
  </si>
  <si>
    <t>Sinalização horizontal com termoplast extrund.ado</t>
  </si>
  <si>
    <t>TOTAL</t>
  </si>
  <si>
    <t>BDI</t>
  </si>
  <si>
    <t>TERRAPLANAGEM</t>
  </si>
  <si>
    <t>PAVIMENTAÇÃO URBANA</t>
  </si>
  <si>
    <t>DS</t>
  </si>
  <si>
    <t>TOTAL C/ BDI</t>
  </si>
  <si>
    <t>TOTAL DESTA MEDIÇÃO COM  1° REAJUSTE</t>
  </si>
  <si>
    <t>TOTAL DESTA MEDIÇÃO COM  2° REAJUSTE</t>
  </si>
  <si>
    <t>1° REAJUSTE (2,769 %)</t>
  </si>
  <si>
    <t>2° REAJUSTE (4,470 %)</t>
  </si>
  <si>
    <t>TOTAL C/ 1° REAJUSTE</t>
  </si>
  <si>
    <t>1° REAJUSTE 2,769</t>
  </si>
  <si>
    <t>2° REAJUSTE 4,47</t>
  </si>
  <si>
    <t>TOTAL C/ 2° REAJUSTE</t>
  </si>
  <si>
    <t>REFERENTE AO MÊS: 01/12/2021 À 31/12/2021</t>
  </si>
  <si>
    <t>DATA DA MEDIÇÃO : 03/01/2022</t>
  </si>
  <si>
    <t>MANTA GEOTEXTIL TECIDA RESISTENCIA LONGITUDINAL 48 KN/M</t>
  </si>
  <si>
    <t>MEDIÇÃO: 13° MEDIÇÃO - 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</si>
</sst>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&quot;\ #,##0.00"/>
    <numFmt numFmtId="166" formatCode="0.000%"/>
    <numFmt numFmtId="167" formatCode="#,##0.0000"/>
    <numFmt numFmtId="168" formatCode="_-&quot;R$&quot;\ * #,##0.0000_-;\-&quot;R$&quot;\ * #,##0.0000_-;_-&quot;R$&quot;\ * &quot;-&quot;??_-;_-@_-"/>
  </numFmts>
  <fonts count="39" x14ac:knownFonts="1"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vertAlign val="superscript"/>
      <sz val="14"/>
      <name val="Arial"/>
      <family val="2"/>
    </font>
    <font>
      <sz val="14"/>
      <color rgb="FF000000"/>
      <name val="Arial"/>
      <family val="2"/>
    </font>
    <font>
      <u/>
      <sz val="14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14"/>
      <color theme="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sz val="14"/>
      <color rgb="FFFFC000"/>
      <name val="Calibri"/>
      <family val="2"/>
    </font>
    <font>
      <b/>
      <sz val="10"/>
      <name val="Arial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name val="Calibri"/>
      <family val="2"/>
    </font>
    <font>
      <b/>
      <sz val="18"/>
      <color theme="1"/>
      <name val="Arial"/>
      <family val="2"/>
    </font>
    <font>
      <sz val="18"/>
      <name val="Calibri"/>
      <family val="2"/>
    </font>
    <font>
      <b/>
      <sz val="20"/>
      <color theme="1"/>
      <name val="Arial"/>
      <family val="2"/>
    </font>
    <font>
      <sz val="2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9" fontId="1" fillId="0" borderId="0" applyFill="0" applyBorder="0" applyAlignment="0" applyProtection="0"/>
    <xf numFmtId="9" fontId="1" fillId="0" borderId="0" applyFill="0" applyBorder="0" applyAlignment="0" applyProtection="0"/>
    <xf numFmtId="0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7">
    <xf numFmtId="0" fontId="0" fillId="0" borderId="0" xfId="0"/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" fontId="2" fillId="0" borderId="0" xfId="0" applyNumberFormat="1" applyFont="1" applyAlignment="1"/>
    <xf numFmtId="2" fontId="2" fillId="0" borderId="0" xfId="0" applyNumberFormat="1" applyFont="1" applyAlignment="1"/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8" xfId="0" applyNumberFormat="1" applyFont="1" applyFill="1" applyBorder="1" applyAlignment="1">
      <alignment horizontal="right" vertical="center"/>
    </xf>
    <xf numFmtId="4" fontId="7" fillId="0" borderId="20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/>
    </xf>
    <xf numFmtId="4" fontId="7" fillId="0" borderId="22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4" fontId="12" fillId="0" borderId="15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vertical="center"/>
    </xf>
    <xf numFmtId="4" fontId="12" fillId="0" borderId="9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shrinkToFit="1"/>
    </xf>
    <xf numFmtId="4" fontId="12" fillId="0" borderId="3" xfId="0" applyNumberFormat="1" applyFont="1" applyBorder="1" applyAlignment="1">
      <alignment vertical="center"/>
    </xf>
    <xf numFmtId="39" fontId="12" fillId="0" borderId="3" xfId="0" applyNumberFormat="1" applyFont="1" applyBorder="1" applyAlignment="1">
      <alignment vertical="center"/>
    </xf>
    <xf numFmtId="39" fontId="12" fillId="0" borderId="3" xfId="0" applyNumberFormat="1" applyFont="1" applyBorder="1" applyAlignment="1" applyProtection="1">
      <alignment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shrinkToFit="1"/>
    </xf>
    <xf numFmtId="4" fontId="13" fillId="2" borderId="3" xfId="0" applyNumberFormat="1" applyFont="1" applyFill="1" applyBorder="1" applyAlignment="1">
      <alignment vertical="center"/>
    </xf>
    <xf numFmtId="10" fontId="13" fillId="2" borderId="3" xfId="2" applyNumberFormat="1" applyFont="1" applyFill="1" applyBorder="1" applyAlignment="1" applyProtection="1">
      <alignment vertical="center" shrinkToFit="1"/>
    </xf>
    <xf numFmtId="39" fontId="13" fillId="2" borderId="3" xfId="0" applyNumberFormat="1" applyFont="1" applyFill="1" applyBorder="1" applyAlignment="1" applyProtection="1">
      <alignment vertical="center"/>
    </xf>
    <xf numFmtId="0" fontId="11" fillId="6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39" fontId="12" fillId="0" borderId="3" xfId="1" applyFont="1" applyFill="1" applyBorder="1" applyAlignment="1">
      <alignment horizontal="right" vertical="center"/>
    </xf>
    <xf numFmtId="165" fontId="12" fillId="3" borderId="3" xfId="1" quotePrefix="1" applyNumberFormat="1" applyFont="1" applyFill="1" applyBorder="1" applyAlignment="1">
      <alignment horizontal="right" vertical="center"/>
    </xf>
    <xf numFmtId="165" fontId="12" fillId="0" borderId="3" xfId="0" applyNumberFormat="1" applyFont="1" applyFill="1" applyBorder="1" applyAlignment="1">
      <alignment vertical="center"/>
    </xf>
    <xf numFmtId="2" fontId="12" fillId="0" borderId="3" xfId="2" applyNumberFormat="1" applyFont="1" applyFill="1" applyBorder="1" applyAlignment="1" applyProtection="1">
      <alignment vertical="center" shrinkToFit="1"/>
    </xf>
    <xf numFmtId="165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2" fontId="12" fillId="0" borderId="3" xfId="0" applyNumberFormat="1" applyFont="1" applyFill="1" applyBorder="1" applyAlignment="1" applyProtection="1">
      <alignment vertical="center"/>
    </xf>
    <xf numFmtId="166" fontId="12" fillId="0" borderId="1" xfId="0" applyNumberFormat="1" applyFont="1" applyBorder="1" applyAlignment="1">
      <alignment vertical="center"/>
    </xf>
    <xf numFmtId="39" fontId="12" fillId="3" borderId="3" xfId="1" applyFont="1" applyFill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left" vertical="center" wrapText="1"/>
    </xf>
    <xf numFmtId="165" fontId="12" fillId="0" borderId="3" xfId="0" applyNumberFormat="1" applyFont="1" applyBorder="1" applyAlignment="1">
      <alignment vertical="center"/>
    </xf>
    <xf numFmtId="165" fontId="11" fillId="7" borderId="3" xfId="0" applyNumberFormat="1" applyFont="1" applyFill="1" applyBorder="1" applyAlignment="1">
      <alignment vertical="center"/>
    </xf>
    <xf numFmtId="2" fontId="11" fillId="7" borderId="3" xfId="2" applyNumberFormat="1" applyFont="1" applyFill="1" applyBorder="1" applyAlignment="1" applyProtection="1">
      <alignment vertical="center" shrinkToFit="1"/>
    </xf>
    <xf numFmtId="4" fontId="12" fillId="7" borderId="3" xfId="0" applyNumberFormat="1" applyFont="1" applyFill="1" applyBorder="1" applyAlignment="1">
      <alignment vertical="center"/>
    </xf>
    <xf numFmtId="2" fontId="12" fillId="7" borderId="3" xfId="0" applyNumberFormat="1" applyFont="1" applyFill="1" applyBorder="1" applyAlignment="1" applyProtection="1">
      <alignment vertical="center"/>
    </xf>
    <xf numFmtId="166" fontId="12" fillId="7" borderId="1" xfId="0" applyNumberFormat="1" applyFont="1" applyFill="1" applyBorder="1" applyAlignment="1">
      <alignment vertical="center"/>
    </xf>
    <xf numFmtId="0" fontId="12" fillId="0" borderId="3" xfId="0" applyFont="1" applyBorder="1" applyAlignment="1" applyProtection="1">
      <alignment horizontal="center" vertical="center" shrinkToFit="1"/>
    </xf>
    <xf numFmtId="39" fontId="12" fillId="3" borderId="3" xfId="1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39" fontId="12" fillId="0" borderId="3" xfId="1" applyFont="1" applyFill="1" applyBorder="1" applyAlignment="1">
      <alignment horizontal="center" vertical="center"/>
    </xf>
    <xf numFmtId="165" fontId="12" fillId="0" borderId="3" xfId="1" quotePrefix="1" applyNumberFormat="1" applyFont="1" applyFill="1" applyBorder="1" applyAlignment="1">
      <alignment horizontal="right" vertical="center"/>
    </xf>
    <xf numFmtId="4" fontId="11" fillId="7" borderId="3" xfId="0" applyNumberFormat="1" applyFont="1" applyFill="1" applyBorder="1" applyAlignment="1">
      <alignment vertical="center"/>
    </xf>
    <xf numFmtId="10" fontId="12" fillId="7" borderId="1" xfId="0" applyNumberFormat="1" applyFont="1" applyFill="1" applyBorder="1" applyAlignment="1">
      <alignment vertical="center"/>
    </xf>
    <xf numFmtId="0" fontId="12" fillId="0" borderId="3" xfId="0" quotePrefix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39" fontId="12" fillId="0" borderId="3" xfId="1" applyFont="1" applyFill="1" applyBorder="1" applyAlignment="1">
      <alignment horizontal="right" vertical="center" wrapText="1"/>
    </xf>
    <xf numFmtId="0" fontId="12" fillId="0" borderId="3" xfId="0" quotePrefix="1" applyFont="1" applyFill="1" applyBorder="1" applyAlignment="1">
      <alignment horizontal="left" vertical="center" wrapText="1"/>
    </xf>
    <xf numFmtId="0" fontId="12" fillId="0" borderId="3" xfId="0" quotePrefix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65" fontId="12" fillId="0" borderId="3" xfId="1" applyNumberFormat="1" applyFont="1" applyFill="1" applyBorder="1" applyAlignment="1">
      <alignment horizontal="right" vertical="center" wrapText="1"/>
    </xf>
    <xf numFmtId="0" fontId="14" fillId="0" borderId="3" xfId="3" applyFont="1" applyBorder="1" applyAlignment="1">
      <alignment vertical="center" wrapText="1"/>
    </xf>
    <xf numFmtId="0" fontId="14" fillId="0" borderId="3" xfId="3" applyFont="1" applyBorder="1" applyAlignment="1">
      <alignment horizontal="center" vertical="center" wrapText="1"/>
    </xf>
    <xf numFmtId="39" fontId="15" fillId="3" borderId="3" xfId="1" applyFont="1" applyFill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5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39" fontId="12" fillId="0" borderId="3" xfId="1" quotePrefix="1" applyFont="1" applyFill="1" applyBorder="1" applyAlignment="1">
      <alignment horizontal="right" vertical="center"/>
    </xf>
    <xf numFmtId="0" fontId="11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quotePrefix="1" applyNumberFormat="1" applyFont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center" vertical="center" shrinkToFit="1"/>
    </xf>
    <xf numFmtId="4" fontId="12" fillId="0" borderId="3" xfId="0" quotePrefix="1" applyNumberFormat="1" applyFont="1" applyFill="1" applyBorder="1" applyAlignment="1">
      <alignment horizontal="right" vertical="center"/>
    </xf>
    <xf numFmtId="0" fontId="15" fillId="3" borderId="3" xfId="0" quotePrefix="1" applyFont="1" applyFill="1" applyBorder="1" applyAlignment="1">
      <alignment horizontal="left" vertical="center" wrapText="1"/>
    </xf>
    <xf numFmtId="0" fontId="15" fillId="3" borderId="3" xfId="0" quotePrefix="1" applyFont="1" applyFill="1" applyBorder="1" applyAlignment="1">
      <alignment horizontal="center" vertical="center"/>
    </xf>
    <xf numFmtId="39" fontId="12" fillId="3" borderId="3" xfId="1" quotePrefix="1" applyFont="1" applyFill="1" applyBorder="1" applyAlignment="1">
      <alignment horizontal="right" vertical="center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/>
    </xf>
    <xf numFmtId="10" fontId="11" fillId="0" borderId="3" xfId="2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39" fontId="19" fillId="0" borderId="6" xfId="1" applyFont="1" applyBorder="1" applyAlignment="1">
      <alignment horizontal="right" vertical="center"/>
    </xf>
    <xf numFmtId="165" fontId="11" fillId="0" borderId="7" xfId="0" applyNumberFormat="1" applyFont="1" applyBorder="1"/>
    <xf numFmtId="2" fontId="12" fillId="0" borderId="8" xfId="0" applyNumberFormat="1" applyFont="1" applyBorder="1" applyAlignment="1">
      <alignment vertical="center"/>
    </xf>
    <xf numFmtId="44" fontId="11" fillId="0" borderId="7" xfId="0" applyNumberFormat="1" applyFont="1" applyBorder="1"/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vertical="center"/>
    </xf>
    <xf numFmtId="39" fontId="19" fillId="0" borderId="9" xfId="1" applyFont="1" applyBorder="1" applyAlignment="1">
      <alignment horizontal="right" vertical="center"/>
    </xf>
    <xf numFmtId="165" fontId="11" fillId="0" borderId="8" xfId="0" applyNumberFormat="1" applyFont="1" applyBorder="1"/>
    <xf numFmtId="44" fontId="11" fillId="0" borderId="8" xfId="0" applyNumberFormat="1" applyFont="1" applyBorder="1"/>
    <xf numFmtId="165" fontId="11" fillId="0" borderId="10" xfId="0" applyNumberFormat="1" applyFont="1" applyBorder="1"/>
    <xf numFmtId="2" fontId="12" fillId="0" borderId="11" xfId="0" applyNumberFormat="1" applyFont="1" applyBorder="1" applyAlignment="1">
      <alignment vertical="center"/>
    </xf>
    <xf numFmtId="44" fontId="11" fillId="0" borderId="10" xfId="0" applyNumberFormat="1" applyFont="1" applyBorder="1"/>
    <xf numFmtId="0" fontId="12" fillId="7" borderId="14" xfId="0" applyFont="1" applyFill="1" applyBorder="1"/>
    <xf numFmtId="4" fontId="12" fillId="7" borderId="15" xfId="0" applyNumberFormat="1" applyFont="1" applyFill="1" applyBorder="1"/>
    <xf numFmtId="4" fontId="20" fillId="7" borderId="9" xfId="0" applyNumberFormat="1" applyFont="1" applyFill="1" applyBorder="1" applyAlignment="1"/>
    <xf numFmtId="0" fontId="21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2" fillId="0" borderId="20" xfId="0" applyNumberFormat="1" applyFont="1" applyFill="1" applyBorder="1" applyAlignment="1">
      <alignment horizontal="right" vertical="center"/>
    </xf>
    <xf numFmtId="10" fontId="20" fillId="0" borderId="8" xfId="0" applyNumberFormat="1" applyFont="1" applyBorder="1" applyAlignment="1"/>
    <xf numFmtId="165" fontId="11" fillId="7" borderId="3" xfId="2" applyNumberFormat="1" applyFont="1" applyFill="1" applyBorder="1" applyAlignment="1" applyProtection="1">
      <alignment vertical="center" shrinkToFit="1"/>
    </xf>
    <xf numFmtId="4" fontId="12" fillId="7" borderId="8" xfId="0" applyNumberFormat="1" applyFont="1" applyFill="1" applyBorder="1" applyAlignment="1">
      <alignment vertical="center"/>
    </xf>
    <xf numFmtId="165" fontId="12" fillId="7" borderId="3" xfId="2" applyNumberFormat="1" applyFont="1" applyFill="1" applyBorder="1" applyAlignment="1" applyProtection="1">
      <alignment vertical="center" shrinkToFit="1"/>
    </xf>
    <xf numFmtId="4" fontId="23" fillId="7" borderId="8" xfId="0" applyNumberFormat="1" applyFont="1" applyFill="1" applyBorder="1" applyAlignment="1">
      <alignment vertical="center"/>
    </xf>
    <xf numFmtId="165" fontId="23" fillId="7" borderId="3" xfId="2" applyNumberFormat="1" applyFont="1" applyFill="1" applyBorder="1" applyAlignment="1" applyProtection="1">
      <alignment vertical="center" shrinkToFit="1"/>
    </xf>
    <xf numFmtId="10" fontId="12" fillId="7" borderId="3" xfId="2" applyNumberFormat="1" applyFont="1" applyFill="1" applyBorder="1" applyAlignment="1" applyProtection="1">
      <alignment vertical="center"/>
    </xf>
    <xf numFmtId="44" fontId="11" fillId="7" borderId="7" xfId="0" applyNumberFormat="1" applyFont="1" applyFill="1" applyBorder="1"/>
    <xf numFmtId="165" fontId="11" fillId="7" borderId="7" xfId="0" applyNumberFormat="1" applyFont="1" applyFill="1" applyBorder="1"/>
    <xf numFmtId="44" fontId="11" fillId="7" borderId="8" xfId="0" applyNumberFormat="1" applyFont="1" applyFill="1" applyBorder="1"/>
    <xf numFmtId="165" fontId="11" fillId="7" borderId="8" xfId="0" applyNumberFormat="1" applyFont="1" applyFill="1" applyBorder="1"/>
    <xf numFmtId="44" fontId="11" fillId="7" borderId="10" xfId="0" applyNumberFormat="1" applyFont="1" applyFill="1" applyBorder="1"/>
    <xf numFmtId="165" fontId="11" fillId="7" borderId="10" xfId="0" applyNumberFormat="1" applyFont="1" applyFill="1" applyBorder="1"/>
    <xf numFmtId="4" fontId="2" fillId="7" borderId="0" xfId="0" applyNumberFormat="1" applyFont="1" applyFill="1" applyAlignment="1"/>
    <xf numFmtId="2" fontId="2" fillId="7" borderId="0" xfId="0" applyNumberFormat="1" applyFont="1" applyFill="1" applyAlignment="1"/>
    <xf numFmtId="4" fontId="12" fillId="3" borderId="15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4" fontId="12" fillId="3" borderId="3" xfId="0" applyNumberFormat="1" applyFont="1" applyFill="1" applyBorder="1" applyAlignment="1">
      <alignment vertical="center"/>
    </xf>
    <xf numFmtId="10" fontId="12" fillId="3" borderId="3" xfId="0" applyNumberFormat="1" applyFont="1" applyFill="1" applyBorder="1" applyAlignment="1" applyProtection="1">
      <alignment vertical="center"/>
    </xf>
    <xf numFmtId="4" fontId="13" fillId="8" borderId="3" xfId="0" applyNumberFormat="1" applyFont="1" applyFill="1" applyBorder="1" applyAlignment="1">
      <alignment vertical="center"/>
    </xf>
    <xf numFmtId="10" fontId="13" fillId="8" borderId="3" xfId="2" applyNumberFormat="1" applyFont="1" applyFill="1" applyBorder="1" applyAlignment="1" applyProtection="1">
      <alignment vertical="center" shrinkToFit="1"/>
    </xf>
    <xf numFmtId="4" fontId="11" fillId="3" borderId="3" xfId="0" applyNumberFormat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 applyProtection="1">
      <alignment horizontal="center" vertical="center" shrinkToFit="1"/>
    </xf>
    <xf numFmtId="0" fontId="12" fillId="10" borderId="3" xfId="0" quotePrefix="1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center" vertical="center"/>
    </xf>
    <xf numFmtId="39" fontId="12" fillId="10" borderId="3" xfId="1" applyFont="1" applyFill="1" applyBorder="1" applyAlignment="1">
      <alignment horizontal="right" vertical="center"/>
    </xf>
    <xf numFmtId="165" fontId="12" fillId="10" borderId="3" xfId="1" quotePrefix="1" applyNumberFormat="1" applyFont="1" applyFill="1" applyBorder="1" applyAlignment="1">
      <alignment horizontal="right" vertical="center"/>
    </xf>
    <xf numFmtId="165" fontId="12" fillId="10" borderId="3" xfId="0" applyNumberFormat="1" applyFont="1" applyFill="1" applyBorder="1" applyAlignment="1">
      <alignment vertical="center"/>
    </xf>
    <xf numFmtId="2" fontId="12" fillId="10" borderId="3" xfId="2" applyNumberFormat="1" applyFont="1" applyFill="1" applyBorder="1" applyAlignment="1" applyProtection="1">
      <alignment vertical="center" shrinkToFit="1"/>
    </xf>
    <xf numFmtId="2" fontId="12" fillId="10" borderId="3" xfId="0" applyNumberFormat="1" applyFont="1" applyFill="1" applyBorder="1" applyAlignment="1" applyProtection="1">
      <alignment vertical="center"/>
    </xf>
    <xf numFmtId="166" fontId="12" fillId="10" borderId="1" xfId="0" applyNumberFormat="1" applyFont="1" applyFill="1" applyBorder="1" applyAlignment="1">
      <alignment vertical="center"/>
    </xf>
    <xf numFmtId="0" fontId="12" fillId="10" borderId="3" xfId="0" quotePrefix="1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center" vertical="center" shrinkToFit="1"/>
    </xf>
    <xf numFmtId="0" fontId="12" fillId="6" borderId="3" xfId="0" quotePrefix="1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/>
    </xf>
    <xf numFmtId="39" fontId="12" fillId="6" borderId="3" xfId="1" applyFont="1" applyFill="1" applyBorder="1" applyAlignment="1">
      <alignment horizontal="right" vertical="center"/>
    </xf>
    <xf numFmtId="165" fontId="12" fillId="6" borderId="3" xfId="1" quotePrefix="1" applyNumberFormat="1" applyFont="1" applyFill="1" applyBorder="1" applyAlignment="1">
      <alignment horizontal="right" vertical="center"/>
    </xf>
    <xf numFmtId="165" fontId="12" fillId="6" borderId="3" xfId="0" applyNumberFormat="1" applyFont="1" applyFill="1" applyBorder="1" applyAlignment="1">
      <alignment vertical="center"/>
    </xf>
    <xf numFmtId="2" fontId="12" fillId="6" borderId="3" xfId="2" applyNumberFormat="1" applyFont="1" applyFill="1" applyBorder="1" applyAlignment="1" applyProtection="1">
      <alignment vertical="center" shrinkToFit="1"/>
    </xf>
    <xf numFmtId="2" fontId="12" fillId="6" borderId="3" xfId="0" applyNumberFormat="1" applyFont="1" applyFill="1" applyBorder="1" applyAlignment="1" applyProtection="1">
      <alignment vertical="center"/>
    </xf>
    <xf numFmtId="166" fontId="12" fillId="6" borderId="1" xfId="0" applyNumberFormat="1" applyFont="1" applyFill="1" applyBorder="1" applyAlignment="1">
      <alignment vertical="center"/>
    </xf>
    <xf numFmtId="0" fontId="12" fillId="6" borderId="3" xfId="0" quotePrefix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left" vertical="center" wrapText="1"/>
    </xf>
    <xf numFmtId="165" fontId="12" fillId="9" borderId="3" xfId="1" quotePrefix="1" applyNumberFormat="1" applyFont="1" applyFill="1" applyBorder="1" applyAlignment="1">
      <alignment horizontal="right" vertical="center"/>
    </xf>
    <xf numFmtId="165" fontId="12" fillId="9" borderId="3" xfId="0" applyNumberFormat="1" applyFont="1" applyFill="1" applyBorder="1" applyAlignment="1">
      <alignment vertical="center"/>
    </xf>
    <xf numFmtId="2" fontId="12" fillId="9" borderId="3" xfId="2" applyNumberFormat="1" applyFont="1" applyFill="1" applyBorder="1" applyAlignment="1" applyProtection="1">
      <alignment vertical="center" shrinkToFit="1"/>
    </xf>
    <xf numFmtId="2" fontId="12" fillId="9" borderId="3" xfId="0" applyNumberFormat="1" applyFont="1" applyFill="1" applyBorder="1" applyAlignment="1" applyProtection="1">
      <alignment vertical="center"/>
    </xf>
    <xf numFmtId="0" fontId="12" fillId="9" borderId="3" xfId="0" applyFont="1" applyFill="1" applyBorder="1" applyAlignment="1" applyProtection="1">
      <alignment horizontal="center" vertical="center" shrinkToFit="1"/>
    </xf>
    <xf numFmtId="0" fontId="12" fillId="9" borderId="3" xfId="0" applyNumberFormat="1" applyFont="1" applyFill="1" applyBorder="1" applyAlignment="1">
      <alignment horizontal="center" vertical="center"/>
    </xf>
    <xf numFmtId="0" fontId="14" fillId="9" borderId="3" xfId="3" applyFont="1" applyFill="1" applyBorder="1" applyAlignment="1">
      <alignment vertical="center" wrapText="1"/>
    </xf>
    <xf numFmtId="0" fontId="14" fillId="9" borderId="3" xfId="3" applyFont="1" applyFill="1" applyBorder="1" applyAlignment="1">
      <alignment horizontal="center" vertical="center" wrapText="1"/>
    </xf>
    <xf numFmtId="39" fontId="15" fillId="9" borderId="3" xfId="1" applyFont="1" applyFill="1" applyBorder="1" applyAlignment="1">
      <alignment vertical="center"/>
    </xf>
    <xf numFmtId="165" fontId="12" fillId="9" borderId="3" xfId="1" applyNumberFormat="1" applyFont="1" applyFill="1" applyBorder="1" applyAlignment="1">
      <alignment horizontal="right" vertical="center" wrapText="1"/>
    </xf>
    <xf numFmtId="166" fontId="12" fillId="9" borderId="1" xfId="0" applyNumberFormat="1" applyFont="1" applyFill="1" applyBorder="1" applyAlignment="1">
      <alignment vertical="center"/>
    </xf>
    <xf numFmtId="4" fontId="12" fillId="6" borderId="3" xfId="4" applyNumberFormat="1" applyFont="1" applyFill="1" applyBorder="1" applyAlignment="1">
      <alignment vertical="center" wrapText="1"/>
    </xf>
    <xf numFmtId="4" fontId="12" fillId="6" borderId="3" xfId="5" applyNumberFormat="1" applyFont="1" applyFill="1" applyBorder="1" applyAlignment="1">
      <alignment horizontal="center" vertical="center"/>
    </xf>
    <xf numFmtId="39" fontId="12" fillId="6" borderId="3" xfId="1" applyFont="1" applyFill="1" applyBorder="1" applyAlignment="1">
      <alignment horizontal="center" vertical="center"/>
    </xf>
    <xf numFmtId="0" fontId="12" fillId="10" borderId="3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left" vertical="center" wrapText="1"/>
    </xf>
    <xf numFmtId="0" fontId="12" fillId="6" borderId="3" xfId="0" applyNumberFormat="1" applyFont="1" applyFill="1" applyBorder="1" applyAlignment="1">
      <alignment horizontal="center" vertical="center"/>
    </xf>
    <xf numFmtId="4" fontId="12" fillId="10" borderId="3" xfId="0" applyNumberFormat="1" applyFont="1" applyFill="1" applyBorder="1" applyAlignment="1">
      <alignment horizontal="left" vertical="center" wrapText="1"/>
    </xf>
    <xf numFmtId="0" fontId="12" fillId="10" borderId="3" xfId="4" applyFont="1" applyFill="1" applyBorder="1" applyAlignment="1">
      <alignment vertical="center"/>
    </xf>
    <xf numFmtId="4" fontId="12" fillId="10" borderId="3" xfId="5" applyNumberFormat="1" applyFont="1" applyFill="1" applyBorder="1" applyAlignment="1">
      <alignment horizontal="center" vertical="center"/>
    </xf>
    <xf numFmtId="39" fontId="12" fillId="10" borderId="3" xfId="1" applyFont="1" applyFill="1" applyBorder="1" applyAlignment="1">
      <alignment horizontal="center" vertical="center"/>
    </xf>
    <xf numFmtId="0" fontId="12" fillId="10" borderId="3" xfId="4" applyFont="1" applyFill="1" applyBorder="1" applyAlignment="1">
      <alignment horizontal="left" vertical="center" wrapText="1"/>
    </xf>
    <xf numFmtId="164" fontId="12" fillId="10" borderId="3" xfId="6" applyFont="1" applyFill="1" applyBorder="1" applyAlignment="1">
      <alignment horizontal="center" vertical="center"/>
    </xf>
    <xf numFmtId="10" fontId="12" fillId="10" borderId="1" xfId="0" applyNumberFormat="1" applyFont="1" applyFill="1" applyBorder="1" applyAlignment="1">
      <alignment vertical="center"/>
    </xf>
    <xf numFmtId="0" fontId="12" fillId="6" borderId="3" xfId="4" applyFont="1" applyFill="1" applyBorder="1" applyAlignment="1">
      <alignment vertical="center" wrapText="1"/>
    </xf>
    <xf numFmtId="164" fontId="12" fillId="6" borderId="3" xfId="6" applyFont="1" applyFill="1" applyBorder="1" applyAlignment="1">
      <alignment horizontal="center" vertical="center"/>
    </xf>
    <xf numFmtId="10" fontId="12" fillId="6" borderId="1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 vertical="center" shrinkToFit="1"/>
    </xf>
    <xf numFmtId="165" fontId="12" fillId="3" borderId="3" xfId="0" applyNumberFormat="1" applyFont="1" applyFill="1" applyBorder="1" applyAlignment="1">
      <alignment vertical="center"/>
    </xf>
    <xf numFmtId="2" fontId="12" fillId="3" borderId="3" xfId="2" applyNumberFormat="1" applyFont="1" applyFill="1" applyBorder="1" applyAlignment="1" applyProtection="1">
      <alignment vertical="center" shrinkToFit="1"/>
    </xf>
    <xf numFmtId="2" fontId="12" fillId="3" borderId="3" xfId="0" applyNumberFormat="1" applyFont="1" applyFill="1" applyBorder="1" applyAlignment="1" applyProtection="1">
      <alignment vertical="center"/>
    </xf>
    <xf numFmtId="10" fontId="12" fillId="3" borderId="1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2" fillId="3" borderId="3" xfId="4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center" vertical="center"/>
    </xf>
    <xf numFmtId="164" fontId="12" fillId="3" borderId="3" xfId="6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vertical="center"/>
    </xf>
    <xf numFmtId="165" fontId="12" fillId="10" borderId="3" xfId="1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 shrinkToFit="1"/>
    </xf>
    <xf numFmtId="4" fontId="2" fillId="0" borderId="0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vertical="center"/>
    </xf>
    <xf numFmtId="44" fontId="21" fillId="0" borderId="23" xfId="7" applyFont="1" applyFill="1" applyBorder="1" applyAlignment="1">
      <alignment vertical="center"/>
    </xf>
    <xf numFmtId="44" fontId="21" fillId="0" borderId="24" xfId="7" applyFont="1" applyFill="1" applyBorder="1" applyAlignment="1">
      <alignment vertical="center"/>
    </xf>
    <xf numFmtId="4" fontId="0" fillId="0" borderId="0" xfId="0" applyNumberFormat="1"/>
    <xf numFmtId="166" fontId="23" fillId="0" borderId="1" xfId="0" applyNumberFormat="1" applyFont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4" fontId="5" fillId="0" borderId="0" xfId="7" applyFont="1"/>
    <xf numFmtId="4" fontId="29" fillId="0" borderId="0" xfId="0" applyNumberFormat="1" applyFont="1" applyAlignment="1">
      <alignment horizontal="center" vertical="center"/>
    </xf>
    <xf numFmtId="44" fontId="31" fillId="11" borderId="0" xfId="7" applyFont="1" applyFill="1"/>
    <xf numFmtId="4" fontId="31" fillId="0" borderId="0" xfId="0" applyNumberFormat="1" applyFont="1" applyAlignment="1">
      <alignment horizontal="center"/>
    </xf>
    <xf numFmtId="4" fontId="31" fillId="0" borderId="0" xfId="0" applyNumberFormat="1" applyFont="1"/>
    <xf numFmtId="4" fontId="25" fillId="0" borderId="0" xfId="0" applyNumberFormat="1" applyFont="1" applyFill="1" applyBorder="1" applyAlignment="1">
      <alignment horizontal="center" vertical="center"/>
    </xf>
    <xf numFmtId="44" fontId="20" fillId="0" borderId="0" xfId="7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7" borderId="8" xfId="0" applyNumberFormat="1" applyFont="1" applyFill="1" applyBorder="1" applyAlignment="1">
      <alignment horizontal="center" vertical="center"/>
    </xf>
    <xf numFmtId="44" fontId="25" fillId="0" borderId="0" xfId="7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44" fontId="26" fillId="0" borderId="0" xfId="7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/>
    </xf>
    <xf numFmtId="4" fontId="24" fillId="7" borderId="0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Border="1" applyAlignment="1">
      <alignment horizontal="center" vertical="center"/>
    </xf>
    <xf numFmtId="165" fontId="26" fillId="0" borderId="0" xfId="7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44" fontId="30" fillId="0" borderId="0" xfId="7" applyFont="1" applyFill="1" applyBorder="1" applyAlignment="1">
      <alignment horizontal="center" vertical="center"/>
    </xf>
    <xf numFmtId="4" fontId="26" fillId="3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4" fontId="20" fillId="0" borderId="0" xfId="7" applyFont="1" applyAlignment="1">
      <alignment horizontal="center" vertical="center"/>
    </xf>
    <xf numFmtId="4" fontId="2" fillId="3" borderId="0" xfId="0" applyNumberFormat="1" applyFont="1" applyFill="1" applyBorder="1" applyAlignment="1">
      <alignment horizontal="center"/>
    </xf>
    <xf numFmtId="4" fontId="25" fillId="3" borderId="0" xfId="0" applyNumberFormat="1" applyFont="1" applyFill="1" applyBorder="1" applyAlignment="1">
      <alignment horizontal="center" vertical="center"/>
    </xf>
    <xf numFmtId="44" fontId="20" fillId="3" borderId="0" xfId="7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12" fillId="7" borderId="3" xfId="0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right" vertical="center"/>
    </xf>
    <xf numFmtId="4" fontId="15" fillId="7" borderId="8" xfId="0" applyNumberFormat="1" applyFont="1" applyFill="1" applyBorder="1" applyAlignment="1">
      <alignment vertical="center"/>
    </xf>
    <xf numFmtId="4" fontId="34" fillId="0" borderId="0" xfId="0" applyNumberFormat="1" applyFont="1"/>
    <xf numFmtId="44" fontId="35" fillId="7" borderId="15" xfId="7" applyFont="1" applyFill="1" applyBorder="1" applyAlignment="1">
      <alignment vertical="center"/>
    </xf>
    <xf numFmtId="44" fontId="36" fillId="0" borderId="0" xfId="7" applyFont="1" applyAlignment="1"/>
    <xf numFmtId="44" fontId="36" fillId="3" borderId="0" xfId="7" applyFont="1" applyFill="1" applyAlignment="1"/>
    <xf numFmtId="2" fontId="2" fillId="3" borderId="0" xfId="0" applyNumberFormat="1" applyFont="1" applyFill="1" applyAlignment="1"/>
    <xf numFmtId="4" fontId="2" fillId="3" borderId="0" xfId="0" applyNumberFormat="1" applyFont="1" applyFill="1" applyAlignment="1"/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vertical="center"/>
    </xf>
    <xf numFmtId="39" fontId="19" fillId="0" borderId="26" xfId="1" applyFont="1" applyBorder="1" applyAlignment="1">
      <alignment horizontal="right" vertical="center"/>
    </xf>
    <xf numFmtId="165" fontId="11" fillId="0" borderId="0" xfId="0" applyNumberFormat="1" applyFont="1" applyBorder="1"/>
    <xf numFmtId="2" fontId="12" fillId="0" borderId="26" xfId="0" applyNumberFormat="1" applyFont="1" applyBorder="1" applyAlignment="1">
      <alignment vertical="center"/>
    </xf>
    <xf numFmtId="44" fontId="11" fillId="0" borderId="0" xfId="0" applyNumberFormat="1" applyFont="1" applyBorder="1"/>
    <xf numFmtId="10" fontId="20" fillId="0" borderId="29" xfId="0" applyNumberFormat="1" applyFont="1" applyBorder="1" applyAlignment="1"/>
    <xf numFmtId="44" fontId="11" fillId="3" borderId="0" xfId="0" applyNumberFormat="1" applyFont="1" applyFill="1" applyBorder="1"/>
    <xf numFmtId="165" fontId="11" fillId="3" borderId="0" xfId="0" applyNumberFormat="1" applyFont="1" applyFill="1" applyBorder="1"/>
    <xf numFmtId="0" fontId="33" fillId="7" borderId="27" xfId="0" applyFont="1" applyFill="1" applyBorder="1" applyAlignment="1">
      <alignment horizontal="center" vertical="center"/>
    </xf>
    <xf numFmtId="0" fontId="32" fillId="7" borderId="26" xfId="0" applyFont="1" applyFill="1" applyBorder="1" applyAlignment="1">
      <alignment horizontal="center" vertical="center"/>
    </xf>
    <xf numFmtId="44" fontId="35" fillId="7" borderId="26" xfId="7" applyFont="1" applyFill="1" applyBorder="1" applyAlignment="1">
      <alignment vertical="center"/>
    </xf>
    <xf numFmtId="4" fontId="33" fillId="7" borderId="26" xfId="0" applyNumberFormat="1" applyFont="1" applyFill="1" applyBorder="1" applyAlignment="1">
      <alignment horizontal="center" vertical="center"/>
    </xf>
    <xf numFmtId="4" fontId="33" fillId="7" borderId="29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wrapText="1"/>
    </xf>
    <xf numFmtId="0" fontId="38" fillId="0" borderId="0" xfId="0" applyFont="1" applyAlignment="1"/>
    <xf numFmtId="4" fontId="38" fillId="0" borderId="0" xfId="0" applyNumberFormat="1" applyFont="1" applyAlignment="1"/>
    <xf numFmtId="0" fontId="38" fillId="0" borderId="0" xfId="0" applyFont="1"/>
    <xf numFmtId="4" fontId="38" fillId="0" borderId="0" xfId="0" applyNumberFormat="1" applyFont="1"/>
    <xf numFmtId="0" fontId="11" fillId="6" borderId="27" xfId="0" applyFont="1" applyFill="1" applyBorder="1" applyAlignment="1" applyProtection="1">
      <alignment vertical="center" wrapText="1"/>
    </xf>
    <xf numFmtId="0" fontId="11" fillId="6" borderId="26" xfId="0" applyFont="1" applyFill="1" applyBorder="1" applyAlignment="1" applyProtection="1">
      <alignment vertical="center" wrapText="1"/>
    </xf>
    <xf numFmtId="0" fontId="11" fillId="6" borderId="9" xfId="0" applyFont="1" applyFill="1" applyBorder="1" applyAlignment="1" applyProtection="1">
      <alignment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2" fillId="10" borderId="3" xfId="4" applyFont="1" applyFill="1" applyBorder="1" applyAlignment="1">
      <alignment vertical="center" wrapText="1"/>
    </xf>
    <xf numFmtId="44" fontId="0" fillId="0" borderId="0" xfId="7" applyFont="1"/>
    <xf numFmtId="168" fontId="0" fillId="0" borderId="0" xfId="7" applyNumberFormat="1" applyFont="1"/>
    <xf numFmtId="44" fontId="31" fillId="12" borderId="0" xfId="7" applyFont="1" applyFill="1"/>
    <xf numFmtId="165" fontId="19" fillId="7" borderId="15" xfId="0" applyNumberFormat="1" applyFont="1" applyFill="1" applyBorder="1" applyAlignment="1">
      <alignment horizontal="right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left" vertical="center"/>
    </xf>
    <xf numFmtId="4" fontId="21" fillId="0" borderId="2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1" fillId="7" borderId="27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6" borderId="27" xfId="0" applyFont="1" applyFill="1" applyBorder="1" applyAlignment="1" applyProtection="1">
      <alignment horizontal="left" vertical="center" wrapText="1"/>
    </xf>
    <xf numFmtId="0" fontId="11" fillId="6" borderId="26" xfId="0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 applyProtection="1">
      <alignment horizontal="left" vertical="center" wrapText="1"/>
    </xf>
    <xf numFmtId="0" fontId="37" fillId="7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11" fillId="6" borderId="27" xfId="0" quotePrefix="1" applyFont="1" applyFill="1" applyBorder="1" applyAlignment="1" applyProtection="1">
      <alignment horizontal="left" vertical="center" wrapText="1"/>
    </xf>
    <xf numFmtId="0" fontId="11" fillId="6" borderId="26" xfId="0" quotePrefix="1" applyFont="1" applyFill="1" applyBorder="1" applyAlignment="1" applyProtection="1">
      <alignment horizontal="left" vertical="center" wrapText="1"/>
    </xf>
    <xf numFmtId="0" fontId="11" fillId="6" borderId="9" xfId="0" quotePrefix="1" applyFont="1" applyFill="1" applyBorder="1" applyAlignment="1" applyProtection="1">
      <alignment horizontal="left" vertical="center" wrapText="1"/>
    </xf>
    <xf numFmtId="0" fontId="11" fillId="4" borderId="27" xfId="0" quotePrefix="1" applyFont="1" applyFill="1" applyBorder="1" applyAlignment="1" applyProtection="1">
      <alignment horizontal="left" vertical="center" wrapText="1"/>
    </xf>
    <xf numFmtId="0" fontId="11" fillId="4" borderId="26" xfId="0" quotePrefix="1" applyFont="1" applyFill="1" applyBorder="1" applyAlignment="1" applyProtection="1">
      <alignment horizontal="left" vertical="center" wrapText="1"/>
    </xf>
    <xf numFmtId="0" fontId="11" fillId="4" borderId="9" xfId="0" quotePrefix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0" fillId="0" borderId="19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/>
    </xf>
    <xf numFmtId="0" fontId="21" fillId="0" borderId="25" xfId="0" applyFont="1" applyFill="1" applyBorder="1" applyAlignment="1">
      <alignment horizontal="left" vertical="center"/>
    </xf>
    <xf numFmtId="4" fontId="21" fillId="0" borderId="25" xfId="0" applyNumberFormat="1" applyFont="1" applyFill="1" applyBorder="1" applyAlignment="1">
      <alignment horizontal="left" vertical="center"/>
    </xf>
    <xf numFmtId="0" fontId="11" fillId="6" borderId="4" xfId="0" applyFont="1" applyFill="1" applyBorder="1" applyAlignment="1" applyProtection="1">
      <alignment horizontal="left" vertical="center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6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Moeda" xfId="7" builtinId="4"/>
    <cellStyle name="Normal" xfId="0" builtinId="0"/>
    <cellStyle name="Normal 2 2" xfId="5" xr:uid="{4009119D-2268-49C2-944D-D8E42249BCA7}"/>
    <cellStyle name="Normal 8" xfId="4" xr:uid="{89F15589-4567-4389-85DC-3E7C69AE1B5B}"/>
    <cellStyle name="Normal_Plan1" xfId="3" xr:uid="{87A6F432-7E01-4465-9CBB-0DE797BA158F}"/>
    <cellStyle name="Porcentagem" xfId="2" builtinId="5"/>
    <cellStyle name="Separador de milhares 7" xfId="6" xr:uid="{D3FD032D-848F-4F36-A59C-D3FB11B8FDBE}"/>
    <cellStyle name="Vírgula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130174</xdr:colOff>
      <xdr:row>0</xdr:row>
      <xdr:rowOff>23812</xdr:rowOff>
    </xdr:from>
    <xdr:to>
      <xdr:col>2</xdr:col>
      <xdr:colOff>536718</xdr:colOff>
      <xdr:row>3</xdr:row>
      <xdr:rowOff>170693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B28989-65D1-4301-A327-3A55630F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4" y="23812"/>
          <a:ext cx="1197768" cy="1047787"/>
        </a:xfrm>
        <a:prstGeom prst="rect">
          <a:avLst/>
        </a:prstGeom>
      </xdr:spPr>
    </xdr:pic>
    <xdr:clientData/>
  </xdr:twoCellAnchor>
  <xdr:twoCellAnchor editAs="oneCell">
    <xdr:from>
      <xdr:col>2</xdr:col>
      <xdr:colOff>671513</xdr:colOff>
      <xdr:row>0</xdr:row>
      <xdr:rowOff>190501</xdr:rowOff>
    </xdr:from>
    <xdr:to>
      <xdr:col>2</xdr:col>
      <xdr:colOff>2226469</xdr:colOff>
      <xdr:row>3</xdr:row>
      <xdr:rowOff>46301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AAC3C63-2A91-479C-ADBC-26351C12679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919" y="190501"/>
          <a:ext cx="1554956" cy="756706"/>
        </a:xfrm>
        <a:prstGeom prst="rect">
          <a:avLst/>
        </a:prstGeom>
        <a:noFill/>
      </xdr:spPr>
    </xdr:pic>
    <xdr:clientData/>
  </xdr:twoCellAnchor>
  <xdr:oneCellAnchor>
    <xdr:from>
      <xdr:col>10</xdr:col>
      <xdr:colOff>1</xdr:colOff>
      <xdr:row>0</xdr:row>
      <xdr:rowOff>35719</xdr:rowOff>
    </xdr:from>
    <xdr:ext cx="2771133" cy="37247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10FD09B-8198-4BA4-A5BF-29771EC33846}"/>
            </a:ext>
          </a:extLst>
        </xdr:cNvPr>
        <xdr:cNvSpPr txBox="1"/>
      </xdr:nvSpPr>
      <xdr:spPr>
        <a:xfrm>
          <a:off x="12763501" y="35719"/>
          <a:ext cx="2771133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900" b="1">
              <a:latin typeface="Arial" panose="020B0604020202020204" pitchFamily="34" charset="0"/>
              <a:cs typeface="Arial" panose="020B0604020202020204" pitchFamily="34" charset="0"/>
            </a:rPr>
            <a:t>CLP n° 196/2016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9"/>
  <sheetViews>
    <sheetView showZeros="0" tabSelected="1" view="pageBreakPreview" topLeftCell="C304" zoomScale="55" zoomScaleNormal="80" zoomScaleSheetLayoutView="55" workbookViewId="0">
      <selection activeCell="J317" sqref="J317"/>
    </sheetView>
  </sheetViews>
  <sheetFormatPr defaultColWidth="11.42578125" defaultRowHeight="18.75" x14ac:dyDescent="0.25"/>
  <cols>
    <col min="1" max="1" width="4" style="8" bestFit="1" customWidth="1"/>
    <col min="2" max="2" width="8" style="8" bestFit="1" customWidth="1"/>
    <col min="3" max="3" width="85.140625" style="9" bestFit="1" customWidth="1"/>
    <col min="4" max="4" width="11" style="7" bestFit="1" customWidth="1"/>
    <col min="5" max="5" width="19.42578125" style="10" bestFit="1" customWidth="1"/>
    <col min="6" max="6" width="28.7109375" style="10" bestFit="1" customWidth="1"/>
    <col min="7" max="7" width="27.140625" style="10" bestFit="1" customWidth="1"/>
    <col min="8" max="8" width="16" style="10" bestFit="1" customWidth="1"/>
    <col min="9" max="9" width="28.7109375" style="10" bestFit="1" customWidth="1"/>
    <col min="10" max="10" width="34" style="146" bestFit="1" customWidth="1"/>
    <col min="11" max="11" width="26.140625" style="147" bestFit="1" customWidth="1"/>
    <col min="12" max="12" width="15.140625" style="11" bestFit="1" customWidth="1"/>
    <col min="13" max="13" width="28.7109375" style="10" bestFit="1" customWidth="1"/>
    <col min="14" max="14" width="20.7109375" style="10" bestFit="1" customWidth="1"/>
    <col min="15" max="15" width="11.7109375" style="6" customWidth="1"/>
    <col min="16" max="16" width="16.7109375" style="252" bestFit="1" customWidth="1"/>
    <col min="17" max="17" width="22.28515625" style="253" bestFit="1" customWidth="1"/>
    <col min="18" max="18" width="11.7109375" style="1" customWidth="1"/>
    <col min="19" max="19" width="19.140625" style="1" bestFit="1" customWidth="1"/>
    <col min="20" max="20" width="16.5703125" style="1" bestFit="1" customWidth="1"/>
    <col min="21" max="23" width="17" style="1" bestFit="1" customWidth="1"/>
    <col min="24" max="24" width="16.7109375" style="1" customWidth="1"/>
    <col min="25" max="25" width="17" style="1" bestFit="1" customWidth="1"/>
    <col min="26" max="26" width="16.7109375" style="1" customWidth="1"/>
    <col min="27" max="27" width="17" style="1" bestFit="1" customWidth="1"/>
    <col min="28" max="28" width="17" style="1" customWidth="1"/>
    <col min="29" max="29" width="18" style="1" bestFit="1" customWidth="1"/>
    <col min="30" max="30" width="18" style="1" customWidth="1"/>
    <col min="31" max="33" width="18" style="1" bestFit="1" customWidth="1"/>
    <col min="34" max="34" width="17.85546875" style="1" bestFit="1" customWidth="1"/>
    <col min="35" max="35" width="18" style="1" bestFit="1" customWidth="1"/>
    <col min="36" max="36" width="17.85546875" style="1" bestFit="1" customWidth="1"/>
    <col min="37" max="37" width="18" style="1" bestFit="1" customWidth="1"/>
    <col min="38" max="38" width="18" style="3" bestFit="1" customWidth="1"/>
    <col min="39" max="16384" width="11.42578125" style="7"/>
  </cols>
  <sheetData>
    <row r="1" spans="1:38" s="3" customFormat="1" ht="26.25" x14ac:dyDescent="0.25">
      <c r="A1" s="323" t="s">
        <v>503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18"/>
      <c r="O1" s="217"/>
      <c r="P1" s="235"/>
      <c r="Q1" s="236"/>
      <c r="R1" s="237"/>
      <c r="S1" s="1"/>
      <c r="T1" s="1"/>
      <c r="U1" s="1"/>
      <c r="V1" s="1"/>
      <c r="W1" s="1"/>
      <c r="X1" s="1"/>
      <c r="Y1" s="1" t="s">
        <v>1</v>
      </c>
      <c r="Z1" s="1"/>
      <c r="AA1" s="1"/>
      <c r="AB1" s="1"/>
      <c r="AC1" s="1"/>
      <c r="AD1" s="1"/>
      <c r="AE1" s="1"/>
      <c r="AF1" s="1"/>
      <c r="AG1" s="2"/>
      <c r="AH1" s="2"/>
      <c r="AI1" s="2"/>
      <c r="AJ1" s="1"/>
      <c r="AK1" s="1"/>
    </row>
    <row r="2" spans="1:38" s="3" customFormat="1" x14ac:dyDescent="0.25">
      <c r="A2" s="325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19"/>
      <c r="O2" s="217"/>
      <c r="P2" s="235"/>
      <c r="Q2" s="236"/>
      <c r="R2" s="23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  <c r="AH2" s="2"/>
      <c r="AI2" s="2"/>
      <c r="AJ2" s="1"/>
      <c r="AK2" s="1"/>
    </row>
    <row r="3" spans="1:38" s="3" customFormat="1" ht="26.25" x14ac:dyDescent="0.25">
      <c r="A3" s="327" t="s">
        <v>504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19"/>
      <c r="O3" s="217"/>
      <c r="P3" s="235"/>
      <c r="Q3" s="236"/>
      <c r="R3" s="23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  <c r="AH3" s="2"/>
      <c r="AI3" s="2"/>
      <c r="AJ3" s="1"/>
      <c r="AK3" s="1"/>
    </row>
    <row r="4" spans="1:38" s="3" customFormat="1" ht="19.5" thickBot="1" x14ac:dyDescent="0.3">
      <c r="A4" s="20"/>
      <c r="B4" s="12"/>
      <c r="C4" s="13"/>
      <c r="D4" s="14"/>
      <c r="E4" s="14"/>
      <c r="F4" s="15"/>
      <c r="G4" s="15"/>
      <c r="H4" s="16"/>
      <c r="I4" s="14"/>
      <c r="J4" s="14"/>
      <c r="K4" s="14"/>
      <c r="L4" s="13"/>
      <c r="M4" s="17"/>
      <c r="N4" s="21"/>
      <c r="O4" s="217"/>
      <c r="P4" s="235"/>
      <c r="Q4" s="236"/>
      <c r="R4" s="23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  <c r="AH4" s="2"/>
      <c r="AI4" s="2"/>
      <c r="AJ4" s="1"/>
      <c r="AK4" s="1"/>
    </row>
    <row r="5" spans="1:38" s="3" customFormat="1" ht="33.75" customHeight="1" x14ac:dyDescent="0.25">
      <c r="A5" s="329" t="s">
        <v>507</v>
      </c>
      <c r="B5" s="330"/>
      <c r="C5" s="330"/>
      <c r="D5" s="330"/>
      <c r="E5" s="127"/>
      <c r="F5" s="128"/>
      <c r="G5" s="331"/>
      <c r="H5" s="331"/>
      <c r="I5" s="127" t="s">
        <v>524</v>
      </c>
      <c r="J5" s="127"/>
      <c r="K5" s="303" t="s">
        <v>571</v>
      </c>
      <c r="L5" s="303"/>
      <c r="M5" s="303"/>
      <c r="N5" s="304"/>
      <c r="O5" s="217"/>
      <c r="P5" s="235"/>
      <c r="Q5" s="236"/>
      <c r="R5" s="23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"/>
      <c r="AH5" s="2"/>
      <c r="AI5" s="2"/>
      <c r="AJ5" s="1"/>
      <c r="AK5" s="1"/>
    </row>
    <row r="6" spans="1:38" s="3" customFormat="1" ht="20.25" x14ac:dyDescent="0.25">
      <c r="A6" s="221"/>
      <c r="B6" s="129"/>
      <c r="C6" s="127"/>
      <c r="D6" s="128"/>
      <c r="E6" s="128"/>
      <c r="F6" s="130"/>
      <c r="G6" s="130"/>
      <c r="H6" s="220"/>
      <c r="I6" s="128"/>
      <c r="J6" s="128"/>
      <c r="K6" s="128"/>
      <c r="L6" s="128"/>
      <c r="M6" s="131"/>
      <c r="N6" s="132"/>
      <c r="O6" s="217"/>
      <c r="P6" s="235"/>
      <c r="Q6" s="236"/>
      <c r="R6" s="23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  <c r="AH6" s="2"/>
      <c r="AI6" s="2"/>
      <c r="AJ6" s="1"/>
      <c r="AK6" s="1"/>
    </row>
    <row r="7" spans="1:38" s="3" customFormat="1" ht="33.75" customHeight="1" x14ac:dyDescent="0.25">
      <c r="A7" s="307" t="s">
        <v>505</v>
      </c>
      <c r="B7" s="308"/>
      <c r="C7" s="308"/>
      <c r="D7" s="308"/>
      <c r="E7" s="308"/>
      <c r="F7" s="308"/>
      <c r="G7" s="308"/>
      <c r="H7" s="308"/>
      <c r="I7" s="308"/>
      <c r="J7" s="128"/>
      <c r="K7" s="303" t="s">
        <v>568</v>
      </c>
      <c r="L7" s="303"/>
      <c r="M7" s="303"/>
      <c r="N7" s="304"/>
      <c r="O7" s="217"/>
      <c r="P7" s="235"/>
      <c r="Q7" s="236"/>
      <c r="R7" s="237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  <c r="AH7" s="2"/>
      <c r="AI7" s="2"/>
      <c r="AJ7" s="1"/>
      <c r="AK7" s="1"/>
    </row>
    <row r="8" spans="1:38" s="3" customFormat="1" ht="20.25" x14ac:dyDescent="0.25">
      <c r="A8" s="221"/>
      <c r="B8" s="129"/>
      <c r="C8" s="127"/>
      <c r="D8" s="128"/>
      <c r="E8" s="128"/>
      <c r="F8" s="130"/>
      <c r="G8" s="130"/>
      <c r="H8" s="220"/>
      <c r="I8" s="128"/>
      <c r="J8" s="128"/>
      <c r="K8" s="128"/>
      <c r="L8" s="127"/>
      <c r="M8" s="131"/>
      <c r="N8" s="132"/>
      <c r="O8" s="217"/>
      <c r="P8" s="235"/>
      <c r="Q8" s="236"/>
      <c r="R8" s="23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  <c r="AH8" s="2"/>
      <c r="AI8" s="2"/>
      <c r="AJ8" s="1"/>
      <c r="AK8" s="1"/>
    </row>
    <row r="9" spans="1:38" s="3" customFormat="1" ht="33.75" customHeight="1" x14ac:dyDescent="0.25">
      <c r="A9" s="223" t="s">
        <v>506</v>
      </c>
      <c r="B9" s="224"/>
      <c r="C9" s="224"/>
      <c r="D9" s="224"/>
      <c r="E9" s="224"/>
      <c r="F9" s="224"/>
      <c r="G9" s="224"/>
      <c r="H9" s="224"/>
      <c r="I9" s="224"/>
      <c r="J9" s="222"/>
      <c r="K9" s="305" t="s">
        <v>569</v>
      </c>
      <c r="L9" s="305"/>
      <c r="M9" s="305"/>
      <c r="N9" s="306"/>
      <c r="O9" s="217"/>
      <c r="P9" s="235"/>
      <c r="Q9" s="236"/>
      <c r="R9" s="23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2"/>
      <c r="AI9" s="2"/>
      <c r="AJ9" s="1"/>
      <c r="AK9" s="1"/>
    </row>
    <row r="10" spans="1:38" s="3" customFormat="1" x14ac:dyDescent="0.25">
      <c r="A10" s="23"/>
      <c r="B10" s="24"/>
      <c r="C10" s="25"/>
      <c r="D10" s="26"/>
      <c r="E10" s="26"/>
      <c r="F10" s="27"/>
      <c r="G10" s="25"/>
      <c r="H10" s="27"/>
      <c r="I10" s="28"/>
      <c r="J10" s="148"/>
      <c r="K10" s="149"/>
      <c r="L10" s="25"/>
      <c r="M10" s="25"/>
      <c r="N10" s="29"/>
      <c r="O10" s="217"/>
      <c r="P10" s="235"/>
      <c r="Q10" s="236"/>
      <c r="R10" s="237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2"/>
      <c r="AI10" s="2"/>
      <c r="AJ10" s="1"/>
      <c r="AK10" s="1"/>
    </row>
    <row r="11" spans="1:38" s="5" customFormat="1" ht="36" customHeight="1" x14ac:dyDescent="0.25">
      <c r="A11" s="335" t="s">
        <v>523</v>
      </c>
      <c r="B11" s="336"/>
      <c r="C11" s="30" t="s">
        <v>2</v>
      </c>
      <c r="D11" s="31" t="s">
        <v>508</v>
      </c>
      <c r="E11" s="32" t="s">
        <v>509</v>
      </c>
      <c r="F11" s="32" t="s">
        <v>510</v>
      </c>
      <c r="G11" s="32" t="s">
        <v>511</v>
      </c>
      <c r="H11" s="32" t="s">
        <v>512</v>
      </c>
      <c r="I11" s="32" t="s">
        <v>513</v>
      </c>
      <c r="J11" s="154" t="s">
        <v>514</v>
      </c>
      <c r="K11" s="155" t="s">
        <v>515</v>
      </c>
      <c r="L11" s="33" t="s">
        <v>516</v>
      </c>
      <c r="M11" s="34" t="s">
        <v>517</v>
      </c>
      <c r="N11" s="32" t="s">
        <v>518</v>
      </c>
      <c r="O11" s="217"/>
      <c r="P11" s="235"/>
      <c r="Q11" s="236"/>
      <c r="R11" s="237"/>
      <c r="S11" s="231" t="s">
        <v>0</v>
      </c>
      <c r="T11" s="231" t="s">
        <v>525</v>
      </c>
      <c r="U11" s="231" t="s">
        <v>526</v>
      </c>
      <c r="V11" s="231" t="s">
        <v>527</v>
      </c>
      <c r="W11" s="231" t="s">
        <v>528</v>
      </c>
      <c r="X11" s="231" t="s">
        <v>529</v>
      </c>
      <c r="Y11" s="231" t="s">
        <v>530</v>
      </c>
      <c r="Z11" s="231" t="s">
        <v>531</v>
      </c>
      <c r="AA11" s="22" t="s">
        <v>532</v>
      </c>
      <c r="AB11" s="22" t="s">
        <v>548</v>
      </c>
      <c r="AC11" s="22" t="s">
        <v>533</v>
      </c>
      <c r="AD11" s="22" t="s">
        <v>549</v>
      </c>
      <c r="AE11" s="22" t="s">
        <v>534</v>
      </c>
      <c r="AF11" s="22" t="s">
        <v>535</v>
      </c>
      <c r="AG11" s="22" t="s">
        <v>536</v>
      </c>
      <c r="AH11" s="22" t="s">
        <v>537</v>
      </c>
      <c r="AI11" s="22" t="s">
        <v>538</v>
      </c>
      <c r="AJ11" s="22" t="s">
        <v>539</v>
      </c>
      <c r="AK11" s="22" t="s">
        <v>540</v>
      </c>
      <c r="AL11" s="22" t="s">
        <v>541</v>
      </c>
    </row>
    <row r="12" spans="1:38" s="3" customFormat="1" x14ac:dyDescent="0.25">
      <c r="A12" s="35"/>
      <c r="B12" s="35"/>
      <c r="C12" s="36"/>
      <c r="D12" s="37"/>
      <c r="E12" s="38"/>
      <c r="F12" s="39"/>
      <c r="G12" s="38"/>
      <c r="H12" s="38"/>
      <c r="I12" s="38"/>
      <c r="J12" s="150"/>
      <c r="K12" s="151" t="str">
        <f>IF(G12=0,"",M12/G12)</f>
        <v/>
      </c>
      <c r="L12" s="40"/>
      <c r="M12" s="38"/>
      <c r="N12" s="38">
        <f>E12-L12</f>
        <v>0</v>
      </c>
      <c r="O12" s="217"/>
      <c r="P12" s="235"/>
      <c r="Q12" s="236"/>
      <c r="R12" s="237"/>
      <c r="S12" s="1">
        <f>SUM(T12:AK12)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/>
      <c r="AH12" s="2"/>
      <c r="AI12" s="2"/>
      <c r="AJ12" s="1"/>
      <c r="AK12" s="4"/>
    </row>
    <row r="13" spans="1:38" s="3" customFormat="1" ht="39.950000000000003" customHeight="1" x14ac:dyDescent="0.25">
      <c r="A13" s="41">
        <v>1</v>
      </c>
      <c r="B13" s="41"/>
      <c r="C13" s="42" t="s">
        <v>109</v>
      </c>
      <c r="D13" s="43"/>
      <c r="E13" s="44"/>
      <c r="F13" s="44"/>
      <c r="G13" s="44">
        <f>E13*F13</f>
        <v>0</v>
      </c>
      <c r="H13" s="45" t="str">
        <f>IF(E13=0,"",I13/E13)</f>
        <v/>
      </c>
      <c r="I13" s="44">
        <f t="shared" ref="I13" si="0">T13</f>
        <v>0</v>
      </c>
      <c r="J13" s="152">
        <f t="shared" ref="J13" si="1">I13*F13</f>
        <v>0</v>
      </c>
      <c r="K13" s="153" t="str">
        <f>IF(G13=0,"",M13/G13)</f>
        <v/>
      </c>
      <c r="L13" s="46">
        <f t="shared" ref="L13" si="2">S13</f>
        <v>0</v>
      </c>
      <c r="M13" s="44">
        <f>L13*F13</f>
        <v>0</v>
      </c>
      <c r="N13" s="44">
        <f>E13-L13</f>
        <v>0</v>
      </c>
      <c r="O13" s="217"/>
      <c r="P13" s="235"/>
      <c r="Q13" s="236"/>
      <c r="R13" s="237"/>
      <c r="S13" s="1">
        <f t="shared" ref="S13:S76" si="3">SUM(T13:AK13)</f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>
        <v>0</v>
      </c>
      <c r="AD13" s="1"/>
      <c r="AE13" s="1"/>
      <c r="AF13" s="1"/>
      <c r="AG13" s="2"/>
      <c r="AH13" s="2"/>
      <c r="AI13" s="2"/>
      <c r="AJ13" s="1"/>
      <c r="AK13" s="4"/>
    </row>
    <row r="14" spans="1:38" s="3" customFormat="1" x14ac:dyDescent="0.25">
      <c r="A14" s="47">
        <v>1</v>
      </c>
      <c r="B14" s="47" t="s">
        <v>9</v>
      </c>
      <c r="C14" s="332" t="s">
        <v>108</v>
      </c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4"/>
      <c r="O14" s="217"/>
      <c r="P14" s="235"/>
      <c r="Q14" s="236"/>
      <c r="R14" s="237"/>
      <c r="S14" s="1">
        <f t="shared" si="3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8" s="3" customFormat="1" ht="39.950000000000003" customHeight="1" x14ac:dyDescent="0.25">
      <c r="A15" s="48">
        <v>1</v>
      </c>
      <c r="B15" s="48" t="s">
        <v>10</v>
      </c>
      <c r="C15" s="49" t="s">
        <v>110</v>
      </c>
      <c r="D15" s="50" t="s">
        <v>42</v>
      </c>
      <c r="E15" s="51">
        <v>120</v>
      </c>
      <c r="F15" s="52">
        <v>92.26</v>
      </c>
      <c r="G15" s="53">
        <f t="shared" ref="G15:G31" si="4">E15*F15</f>
        <v>11071.2</v>
      </c>
      <c r="H15" s="54">
        <f t="shared" ref="H15:H24" si="5">S15+J15</f>
        <v>101.5</v>
      </c>
      <c r="I15" s="53">
        <f>H15*F15</f>
        <v>9364.39</v>
      </c>
      <c r="J15" s="294"/>
      <c r="K15" s="136">
        <f>J15*F15</f>
        <v>0</v>
      </c>
      <c r="L15" s="57">
        <f t="shared" ref="L15:L24" si="6">E15-H15</f>
        <v>18.5</v>
      </c>
      <c r="M15" s="53">
        <f t="shared" ref="M15:M24" si="7">L15*F15</f>
        <v>1706.81</v>
      </c>
      <c r="N15" s="58">
        <f t="shared" ref="N15:N25" si="8">IF(G15=0,"",I15/G15)</f>
        <v>0.84582999999999997</v>
      </c>
      <c r="O15" s="217"/>
      <c r="P15" s="235"/>
      <c r="Q15" s="236"/>
      <c r="R15" s="237"/>
      <c r="S15" s="1">
        <f t="shared" si="3"/>
        <v>101.5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v>101.5</v>
      </c>
      <c r="AF15" s="1"/>
      <c r="AG15" s="1"/>
      <c r="AH15" s="1"/>
      <c r="AI15" s="1"/>
      <c r="AJ15" s="1"/>
      <c r="AK15" s="1"/>
    </row>
    <row r="16" spans="1:38" s="3" customFormat="1" ht="39.950000000000003" customHeight="1" x14ac:dyDescent="0.25">
      <c r="A16" s="48">
        <v>1</v>
      </c>
      <c r="B16" s="48" t="s">
        <v>11</v>
      </c>
      <c r="C16" s="49" t="s">
        <v>111</v>
      </c>
      <c r="D16" s="50" t="s">
        <v>42</v>
      </c>
      <c r="E16" s="51">
        <v>120</v>
      </c>
      <c r="F16" s="52">
        <v>144</v>
      </c>
      <c r="G16" s="53">
        <f t="shared" si="4"/>
        <v>17280</v>
      </c>
      <c r="H16" s="54">
        <f t="shared" si="5"/>
        <v>0</v>
      </c>
      <c r="I16" s="53">
        <f t="shared" ref="I16:I73" si="9">H16*F16</f>
        <v>0</v>
      </c>
      <c r="J16" s="294"/>
      <c r="K16" s="136">
        <f t="shared" ref="K16:K73" si="10">J16*F16</f>
        <v>0</v>
      </c>
      <c r="L16" s="57">
        <f t="shared" si="6"/>
        <v>120</v>
      </c>
      <c r="M16" s="53">
        <f t="shared" si="7"/>
        <v>17280</v>
      </c>
      <c r="N16" s="58">
        <f t="shared" si="8"/>
        <v>0</v>
      </c>
      <c r="O16" s="217"/>
      <c r="P16" s="235"/>
      <c r="Q16" s="236"/>
      <c r="R16" s="237"/>
      <c r="S16" s="1">
        <f t="shared" si="3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" customFormat="1" ht="39.950000000000003" customHeight="1" x14ac:dyDescent="0.25">
      <c r="A17" s="48">
        <v>1</v>
      </c>
      <c r="B17" s="48" t="s">
        <v>12</v>
      </c>
      <c r="C17" s="49" t="s">
        <v>112</v>
      </c>
      <c r="D17" s="50" t="s">
        <v>113</v>
      </c>
      <c r="E17" s="51">
        <v>5</v>
      </c>
      <c r="F17" s="52">
        <v>2567.1999999999998</v>
      </c>
      <c r="G17" s="53">
        <f t="shared" si="4"/>
        <v>12836</v>
      </c>
      <c r="H17" s="54">
        <f t="shared" si="5"/>
        <v>0</v>
      </c>
      <c r="I17" s="53">
        <f t="shared" si="9"/>
        <v>0</v>
      </c>
      <c r="J17" s="294"/>
      <c r="K17" s="136">
        <f t="shared" si="10"/>
        <v>0</v>
      </c>
      <c r="L17" s="57">
        <f t="shared" si="6"/>
        <v>5</v>
      </c>
      <c r="M17" s="53">
        <f t="shared" si="7"/>
        <v>12836</v>
      </c>
      <c r="N17" s="58">
        <f t="shared" si="8"/>
        <v>0</v>
      </c>
      <c r="O17" s="217"/>
      <c r="P17" s="235"/>
      <c r="Q17" s="236"/>
      <c r="R17" s="237"/>
      <c r="S17" s="1">
        <f t="shared" si="3"/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" customFormat="1" ht="39.950000000000003" customHeight="1" x14ac:dyDescent="0.25">
      <c r="A18" s="48">
        <v>1</v>
      </c>
      <c r="B18" s="48" t="s">
        <v>13</v>
      </c>
      <c r="C18" s="49" t="s">
        <v>114</v>
      </c>
      <c r="D18" s="50" t="s">
        <v>113</v>
      </c>
      <c r="E18" s="51">
        <v>3</v>
      </c>
      <c r="F18" s="52">
        <v>2567.1999999999998</v>
      </c>
      <c r="G18" s="53">
        <f t="shared" si="4"/>
        <v>7701.6</v>
      </c>
      <c r="H18" s="54">
        <f t="shared" si="5"/>
        <v>3</v>
      </c>
      <c r="I18" s="53">
        <f t="shared" si="9"/>
        <v>7701.6</v>
      </c>
      <c r="J18" s="294"/>
      <c r="K18" s="136">
        <f t="shared" si="10"/>
        <v>0</v>
      </c>
      <c r="L18" s="57">
        <f t="shared" si="6"/>
        <v>0</v>
      </c>
      <c r="M18" s="53">
        <f t="shared" si="7"/>
        <v>0</v>
      </c>
      <c r="N18" s="58">
        <f t="shared" si="8"/>
        <v>1</v>
      </c>
      <c r="O18" s="217"/>
      <c r="P18" s="235"/>
      <c r="Q18" s="236"/>
      <c r="R18" s="237"/>
      <c r="S18" s="1">
        <f t="shared" si="3"/>
        <v>3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v>3</v>
      </c>
      <c r="AF18" s="1"/>
      <c r="AG18" s="1"/>
      <c r="AH18" s="1"/>
      <c r="AI18" s="1"/>
      <c r="AJ18" s="1"/>
      <c r="AK18" s="1"/>
    </row>
    <row r="19" spans="1:37" s="3" customFormat="1" ht="39.950000000000003" customHeight="1" x14ac:dyDescent="0.25">
      <c r="A19" s="48">
        <v>1</v>
      </c>
      <c r="B19" s="48" t="s">
        <v>14</v>
      </c>
      <c r="C19" s="49" t="s">
        <v>115</v>
      </c>
      <c r="D19" s="50" t="s">
        <v>113</v>
      </c>
      <c r="E19" s="51">
        <v>6</v>
      </c>
      <c r="F19" s="52">
        <v>2567.1999999999998</v>
      </c>
      <c r="G19" s="53">
        <f t="shared" si="4"/>
        <v>15403.2</v>
      </c>
      <c r="H19" s="54">
        <f t="shared" si="5"/>
        <v>6</v>
      </c>
      <c r="I19" s="53">
        <f t="shared" si="9"/>
        <v>15403.2</v>
      </c>
      <c r="J19" s="294"/>
      <c r="K19" s="136">
        <f t="shared" si="10"/>
        <v>0</v>
      </c>
      <c r="L19" s="57">
        <f t="shared" si="6"/>
        <v>0</v>
      </c>
      <c r="M19" s="53">
        <f t="shared" si="7"/>
        <v>0</v>
      </c>
      <c r="N19" s="58">
        <f t="shared" si="8"/>
        <v>1</v>
      </c>
      <c r="O19" s="217"/>
      <c r="P19" s="235"/>
      <c r="Q19" s="236"/>
      <c r="R19" s="237"/>
      <c r="S19" s="1">
        <f t="shared" si="3"/>
        <v>6</v>
      </c>
      <c r="T19" s="1"/>
      <c r="U19" s="1"/>
      <c r="V19" s="1"/>
      <c r="W19" s="1">
        <v>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3" customFormat="1" ht="39.950000000000003" customHeight="1" x14ac:dyDescent="0.25">
      <c r="A20" s="48">
        <v>1</v>
      </c>
      <c r="B20" s="48" t="s">
        <v>15</v>
      </c>
      <c r="C20" s="49" t="s">
        <v>116</v>
      </c>
      <c r="D20" s="50" t="s">
        <v>113</v>
      </c>
      <c r="E20" s="51">
        <v>7</v>
      </c>
      <c r="F20" s="52">
        <v>2567.1999999999998</v>
      </c>
      <c r="G20" s="53">
        <f t="shared" si="4"/>
        <v>17970.400000000001</v>
      </c>
      <c r="H20" s="54">
        <f t="shared" si="5"/>
        <v>7</v>
      </c>
      <c r="I20" s="53">
        <f t="shared" si="9"/>
        <v>17970.400000000001</v>
      </c>
      <c r="J20" s="294"/>
      <c r="K20" s="136">
        <f t="shared" si="10"/>
        <v>0</v>
      </c>
      <c r="L20" s="57">
        <f t="shared" si="6"/>
        <v>0</v>
      </c>
      <c r="M20" s="53">
        <f t="shared" si="7"/>
        <v>0</v>
      </c>
      <c r="N20" s="58">
        <f t="shared" si="8"/>
        <v>1</v>
      </c>
      <c r="O20" s="217"/>
      <c r="P20" s="235"/>
      <c r="Q20" s="236"/>
      <c r="R20" s="237"/>
      <c r="S20" s="1">
        <f t="shared" si="3"/>
        <v>7</v>
      </c>
      <c r="T20" s="1"/>
      <c r="U20" s="1"/>
      <c r="V20" s="1">
        <v>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3" customFormat="1" ht="39.950000000000003" customHeight="1" x14ac:dyDescent="0.25">
      <c r="A21" s="48">
        <v>1</v>
      </c>
      <c r="B21" s="48" t="s">
        <v>16</v>
      </c>
      <c r="C21" s="49" t="s">
        <v>117</v>
      </c>
      <c r="D21" s="50" t="s">
        <v>113</v>
      </c>
      <c r="E21" s="59">
        <v>2</v>
      </c>
      <c r="F21" s="52">
        <v>2567.1999999999998</v>
      </c>
      <c r="G21" s="53">
        <f t="shared" si="4"/>
        <v>5134.3999999999996</v>
      </c>
      <c r="H21" s="54">
        <f t="shared" si="5"/>
        <v>0</v>
      </c>
      <c r="I21" s="53">
        <f t="shared" si="9"/>
        <v>0</v>
      </c>
      <c r="J21" s="294"/>
      <c r="K21" s="136">
        <f t="shared" si="10"/>
        <v>0</v>
      </c>
      <c r="L21" s="57">
        <f t="shared" si="6"/>
        <v>2</v>
      </c>
      <c r="M21" s="53">
        <f t="shared" si="7"/>
        <v>5134.3999999999996</v>
      </c>
      <c r="N21" s="58">
        <f t="shared" si="8"/>
        <v>0</v>
      </c>
      <c r="O21" s="217"/>
      <c r="P21" s="235"/>
      <c r="Q21" s="236"/>
      <c r="R21" s="237"/>
      <c r="S21" s="1">
        <f t="shared" si="3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s="3" customFormat="1" ht="39.950000000000003" customHeight="1" x14ac:dyDescent="0.25">
      <c r="A22" s="48">
        <v>1</v>
      </c>
      <c r="B22" s="48" t="s">
        <v>17</v>
      </c>
      <c r="C22" s="60" t="s">
        <v>118</v>
      </c>
      <c r="D22" s="50" t="s">
        <v>113</v>
      </c>
      <c r="E22" s="59">
        <v>3</v>
      </c>
      <c r="F22" s="52">
        <v>1027</v>
      </c>
      <c r="G22" s="53">
        <f t="shared" si="4"/>
        <v>3081</v>
      </c>
      <c r="H22" s="54">
        <f t="shared" si="5"/>
        <v>0</v>
      </c>
      <c r="I22" s="53">
        <f t="shared" si="9"/>
        <v>0</v>
      </c>
      <c r="J22" s="294"/>
      <c r="K22" s="136">
        <f t="shared" si="10"/>
        <v>0</v>
      </c>
      <c r="L22" s="57">
        <f t="shared" si="6"/>
        <v>3</v>
      </c>
      <c r="M22" s="53">
        <f t="shared" si="7"/>
        <v>3081</v>
      </c>
      <c r="N22" s="58">
        <f t="shared" si="8"/>
        <v>0</v>
      </c>
      <c r="O22" s="217"/>
      <c r="P22" s="235"/>
      <c r="Q22" s="236"/>
      <c r="R22" s="237"/>
      <c r="S22" s="1">
        <f t="shared" si="3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s="3" customFormat="1" ht="39.950000000000003" customHeight="1" x14ac:dyDescent="0.25">
      <c r="A23" s="48">
        <v>1</v>
      </c>
      <c r="B23" s="48" t="s">
        <v>18</v>
      </c>
      <c r="C23" s="60" t="s">
        <v>119</v>
      </c>
      <c r="D23" s="50" t="s">
        <v>113</v>
      </c>
      <c r="E23" s="51">
        <v>5</v>
      </c>
      <c r="F23" s="52">
        <v>1027</v>
      </c>
      <c r="G23" s="53">
        <f t="shared" si="4"/>
        <v>5135</v>
      </c>
      <c r="H23" s="54">
        <f t="shared" si="5"/>
        <v>0</v>
      </c>
      <c r="I23" s="53">
        <f t="shared" si="9"/>
        <v>0</v>
      </c>
      <c r="J23" s="294"/>
      <c r="K23" s="136">
        <f t="shared" si="10"/>
        <v>0</v>
      </c>
      <c r="L23" s="57">
        <f t="shared" si="6"/>
        <v>5</v>
      </c>
      <c r="M23" s="53">
        <f t="shared" si="7"/>
        <v>5135</v>
      </c>
      <c r="N23" s="58">
        <f t="shared" si="8"/>
        <v>0</v>
      </c>
      <c r="O23" s="217"/>
      <c r="P23" s="235"/>
      <c r="Q23" s="236"/>
      <c r="R23" s="237"/>
      <c r="S23" s="1">
        <f t="shared" si="3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s="3" customFormat="1" ht="39.950000000000003" customHeight="1" x14ac:dyDescent="0.25">
      <c r="A24" s="48">
        <v>1</v>
      </c>
      <c r="B24" s="48" t="s">
        <v>19</v>
      </c>
      <c r="C24" s="60" t="s">
        <v>120</v>
      </c>
      <c r="D24" s="50" t="s">
        <v>121</v>
      </c>
      <c r="E24" s="51">
        <v>5</v>
      </c>
      <c r="F24" s="52">
        <v>1027</v>
      </c>
      <c r="G24" s="61">
        <f t="shared" si="4"/>
        <v>5135</v>
      </c>
      <c r="H24" s="54">
        <f t="shared" si="5"/>
        <v>0</v>
      </c>
      <c r="I24" s="53">
        <f t="shared" si="9"/>
        <v>0</v>
      </c>
      <c r="J24" s="294"/>
      <c r="K24" s="136">
        <f t="shared" si="10"/>
        <v>0</v>
      </c>
      <c r="L24" s="57">
        <f t="shared" si="6"/>
        <v>5</v>
      </c>
      <c r="M24" s="61">
        <f t="shared" si="7"/>
        <v>5135</v>
      </c>
      <c r="N24" s="58">
        <f t="shared" si="8"/>
        <v>0</v>
      </c>
      <c r="O24" s="217"/>
      <c r="P24" s="235"/>
      <c r="Q24" s="236"/>
      <c r="R24" s="237"/>
      <c r="S24" s="1">
        <f t="shared" si="3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" customFormat="1" ht="39.950000000000003" customHeight="1" x14ac:dyDescent="0.25">
      <c r="A25" s="309" t="s">
        <v>492</v>
      </c>
      <c r="B25" s="310"/>
      <c r="C25" s="310"/>
      <c r="D25" s="310"/>
      <c r="E25" s="310"/>
      <c r="F25" s="311"/>
      <c r="G25" s="62">
        <f>SUM(G15:G24)</f>
        <v>100747.8</v>
      </c>
      <c r="H25" s="63"/>
      <c r="I25" s="62">
        <f>SUM(I15:I24)</f>
        <v>50439.59</v>
      </c>
      <c r="J25" s="64"/>
      <c r="K25" s="62">
        <f>SUM(K15:K24)</f>
        <v>0</v>
      </c>
      <c r="L25" s="65"/>
      <c r="M25" s="62">
        <f>SUM(M15:M24)</f>
        <v>50308.21</v>
      </c>
      <c r="N25" s="66">
        <f t="shared" si="8"/>
        <v>0.50065000000000004</v>
      </c>
      <c r="O25" s="217"/>
      <c r="P25" s="235"/>
      <c r="Q25" s="236"/>
      <c r="R25" s="237"/>
      <c r="S25" s="1">
        <f t="shared" si="3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s="3" customFormat="1" ht="39.950000000000003" customHeight="1" x14ac:dyDescent="0.25">
      <c r="A26" s="47">
        <v>1</v>
      </c>
      <c r="B26" s="47" t="s">
        <v>21</v>
      </c>
      <c r="C26" s="291" t="s">
        <v>122</v>
      </c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3"/>
      <c r="O26" s="217"/>
      <c r="P26" s="235"/>
      <c r="Q26" s="236"/>
      <c r="R26" s="237"/>
      <c r="S26" s="1">
        <f t="shared" si="3"/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3" customFormat="1" ht="39.950000000000003" customHeight="1" x14ac:dyDescent="0.25">
      <c r="A27" s="48">
        <v>1</v>
      </c>
      <c r="B27" s="67" t="s">
        <v>22</v>
      </c>
      <c r="C27" s="49" t="s">
        <v>123</v>
      </c>
      <c r="D27" s="50" t="s">
        <v>124</v>
      </c>
      <c r="E27" s="68">
        <v>16</v>
      </c>
      <c r="F27" s="52">
        <v>358.87</v>
      </c>
      <c r="G27" s="61">
        <f t="shared" si="4"/>
        <v>5741.92</v>
      </c>
      <c r="H27" s="54">
        <f t="shared" ref="H27:H32" si="11">S27+J27</f>
        <v>16</v>
      </c>
      <c r="I27" s="53">
        <f t="shared" si="9"/>
        <v>5741.92</v>
      </c>
      <c r="J27" s="135"/>
      <c r="K27" s="136">
        <f t="shared" si="10"/>
        <v>0</v>
      </c>
      <c r="L27" s="57">
        <f t="shared" ref="L27:L32" si="12">E27-H27</f>
        <v>0</v>
      </c>
      <c r="M27" s="61">
        <f t="shared" ref="M27:M32" si="13">L27*F27</f>
        <v>0</v>
      </c>
      <c r="N27" s="69">
        <f t="shared" ref="N27:N33" si="14">IF(G27=0,"",I27/G27)</f>
        <v>1</v>
      </c>
      <c r="O27" s="217"/>
      <c r="P27" s="5"/>
      <c r="Q27" s="236"/>
      <c r="R27" s="237"/>
      <c r="S27" s="1">
        <f t="shared" si="3"/>
        <v>16</v>
      </c>
      <c r="T27" s="1">
        <v>16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" customFormat="1" ht="39.950000000000003" customHeight="1" x14ac:dyDescent="0.25">
      <c r="A28" s="48">
        <v>1</v>
      </c>
      <c r="B28" s="67" t="s">
        <v>23</v>
      </c>
      <c r="C28" s="49" t="s">
        <v>125</v>
      </c>
      <c r="D28" s="50" t="s">
        <v>124</v>
      </c>
      <c r="E28" s="68">
        <v>500</v>
      </c>
      <c r="F28" s="52">
        <v>193.1</v>
      </c>
      <c r="G28" s="53">
        <f t="shared" si="4"/>
        <v>96550</v>
      </c>
      <c r="H28" s="54">
        <f t="shared" si="11"/>
        <v>500</v>
      </c>
      <c r="I28" s="53">
        <f t="shared" si="9"/>
        <v>96550</v>
      </c>
      <c r="J28" s="135"/>
      <c r="K28" s="136">
        <f t="shared" si="10"/>
        <v>0</v>
      </c>
      <c r="L28" s="57">
        <f t="shared" si="12"/>
        <v>0</v>
      </c>
      <c r="M28" s="53">
        <f t="shared" si="13"/>
        <v>0</v>
      </c>
      <c r="N28" s="58">
        <f t="shared" si="14"/>
        <v>1</v>
      </c>
      <c r="O28" s="217"/>
      <c r="P28" s="5"/>
      <c r="Q28" s="236"/>
      <c r="R28" s="237"/>
      <c r="S28" s="1">
        <f t="shared" si="3"/>
        <v>500</v>
      </c>
      <c r="T28" s="1"/>
      <c r="U28" s="1">
        <v>25</v>
      </c>
      <c r="V28" s="1">
        <v>50</v>
      </c>
      <c r="W28" s="1">
        <v>425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s="3" customFormat="1" ht="39.950000000000003" customHeight="1" x14ac:dyDescent="0.25">
      <c r="A29" s="48">
        <v>1</v>
      </c>
      <c r="B29" s="67" t="s">
        <v>66</v>
      </c>
      <c r="C29" s="49" t="s">
        <v>126</v>
      </c>
      <c r="D29" s="50" t="s">
        <v>124</v>
      </c>
      <c r="E29" s="68">
        <v>500</v>
      </c>
      <c r="F29" s="52">
        <v>9.4700000000000006</v>
      </c>
      <c r="G29" s="61">
        <f t="shared" si="4"/>
        <v>4735</v>
      </c>
      <c r="H29" s="54">
        <f t="shared" si="11"/>
        <v>0</v>
      </c>
      <c r="I29" s="55">
        <f t="shared" si="9"/>
        <v>0</v>
      </c>
      <c r="J29" s="135"/>
      <c r="K29" s="134">
        <f t="shared" si="10"/>
        <v>0</v>
      </c>
      <c r="L29" s="57">
        <f t="shared" si="12"/>
        <v>500</v>
      </c>
      <c r="M29" s="61">
        <f t="shared" si="13"/>
        <v>4735</v>
      </c>
      <c r="N29" s="58">
        <f t="shared" si="14"/>
        <v>0</v>
      </c>
      <c r="O29" s="217"/>
      <c r="P29" s="5"/>
      <c r="Q29" s="236"/>
      <c r="R29" s="237"/>
      <c r="S29" s="1">
        <f t="shared" si="3"/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3" customFormat="1" ht="39.950000000000003" customHeight="1" x14ac:dyDescent="0.25">
      <c r="A30" s="48">
        <v>1</v>
      </c>
      <c r="B30" s="48" t="s">
        <v>67</v>
      </c>
      <c r="C30" s="70" t="s">
        <v>127</v>
      </c>
      <c r="D30" s="71" t="s">
        <v>128</v>
      </c>
      <c r="E30" s="72">
        <v>96</v>
      </c>
      <c r="F30" s="73">
        <v>479.17</v>
      </c>
      <c r="G30" s="53">
        <f t="shared" si="4"/>
        <v>46000.32</v>
      </c>
      <c r="H30" s="54">
        <f t="shared" si="11"/>
        <v>47</v>
      </c>
      <c r="I30" s="53">
        <f t="shared" si="9"/>
        <v>22520.99</v>
      </c>
      <c r="J30" s="135">
        <v>5</v>
      </c>
      <c r="K30" s="136">
        <f t="shared" si="10"/>
        <v>2395.85</v>
      </c>
      <c r="L30" s="57">
        <f t="shared" si="12"/>
        <v>49</v>
      </c>
      <c r="M30" s="61">
        <f t="shared" si="13"/>
        <v>23479.33</v>
      </c>
      <c r="N30" s="69">
        <f t="shared" si="14"/>
        <v>0.48959999999999998</v>
      </c>
      <c r="O30" s="217"/>
      <c r="P30" s="5"/>
      <c r="Q30" s="236"/>
      <c r="R30" s="237"/>
      <c r="S30" s="1">
        <f t="shared" si="3"/>
        <v>42</v>
      </c>
      <c r="T30" s="1">
        <v>1</v>
      </c>
      <c r="U30" s="1">
        <v>1</v>
      </c>
      <c r="V30" s="1">
        <v>1</v>
      </c>
      <c r="W30" s="1">
        <v>2</v>
      </c>
      <c r="X30" s="1">
        <v>2</v>
      </c>
      <c r="Y30" s="1">
        <v>5</v>
      </c>
      <c r="Z30" s="238">
        <v>5</v>
      </c>
      <c r="AA30" s="1">
        <v>5</v>
      </c>
      <c r="AB30" s="1">
        <v>5</v>
      </c>
      <c r="AC30" s="3">
        <v>5</v>
      </c>
      <c r="AD30" s="1">
        <v>5</v>
      </c>
      <c r="AE30" s="1">
        <v>5</v>
      </c>
      <c r="AF30" s="1"/>
      <c r="AG30" s="1"/>
      <c r="AH30" s="1"/>
      <c r="AI30" s="1"/>
      <c r="AJ30" s="1"/>
      <c r="AK30" s="1"/>
    </row>
    <row r="31" spans="1:37" s="3" customFormat="1" ht="39.950000000000003" customHeight="1" x14ac:dyDescent="0.25">
      <c r="A31" s="48">
        <v>1</v>
      </c>
      <c r="B31" s="67" t="s">
        <v>69</v>
      </c>
      <c r="C31" s="49" t="s">
        <v>129</v>
      </c>
      <c r="D31" s="50" t="s">
        <v>124</v>
      </c>
      <c r="E31" s="68">
        <v>50</v>
      </c>
      <c r="F31" s="52">
        <v>15.69</v>
      </c>
      <c r="G31" s="61">
        <f t="shared" si="4"/>
        <v>784.5</v>
      </c>
      <c r="H31" s="54">
        <f t="shared" si="11"/>
        <v>50</v>
      </c>
      <c r="I31" s="53">
        <f t="shared" si="9"/>
        <v>784.5</v>
      </c>
      <c r="J31" s="135"/>
      <c r="K31" s="136">
        <f t="shared" si="10"/>
        <v>0</v>
      </c>
      <c r="L31" s="57">
        <f t="shared" si="12"/>
        <v>0</v>
      </c>
      <c r="M31" s="61">
        <f t="shared" si="13"/>
        <v>0</v>
      </c>
      <c r="N31" s="58">
        <f t="shared" si="14"/>
        <v>1</v>
      </c>
      <c r="O31" s="217"/>
      <c r="P31" s="235"/>
      <c r="Q31" s="236"/>
      <c r="R31" s="237"/>
      <c r="S31" s="1">
        <f t="shared" si="3"/>
        <v>50</v>
      </c>
      <c r="T31" s="1"/>
      <c r="U31" s="1"/>
      <c r="V31" s="1"/>
      <c r="W31" s="1">
        <v>50</v>
      </c>
      <c r="X31" s="1"/>
      <c r="Y31" s="1"/>
      <c r="Z31" s="1"/>
      <c r="AA31" s="1"/>
      <c r="AB31" s="1"/>
      <c r="AD31" s="1"/>
      <c r="AE31" s="1"/>
      <c r="AF31" s="1"/>
      <c r="AG31" s="1"/>
      <c r="AH31" s="1"/>
      <c r="AI31" s="1"/>
      <c r="AJ31" s="1"/>
      <c r="AK31" s="1"/>
    </row>
    <row r="32" spans="1:37" s="3" customFormat="1" ht="39.950000000000003" customHeight="1" x14ac:dyDescent="0.25">
      <c r="A32" s="48">
        <v>1</v>
      </c>
      <c r="B32" s="67" t="s">
        <v>70</v>
      </c>
      <c r="C32" s="49" t="s">
        <v>130</v>
      </c>
      <c r="D32" s="50" t="s">
        <v>124</v>
      </c>
      <c r="E32" s="68">
        <v>220</v>
      </c>
      <c r="F32" s="52">
        <v>59.1</v>
      </c>
      <c r="G32" s="61">
        <f t="shared" ref="G32" si="15">E32*F32</f>
        <v>13002</v>
      </c>
      <c r="H32" s="54">
        <f t="shared" si="11"/>
        <v>220</v>
      </c>
      <c r="I32" s="53">
        <f t="shared" si="9"/>
        <v>13002</v>
      </c>
      <c r="J32" s="135"/>
      <c r="K32" s="136">
        <f t="shared" si="10"/>
        <v>0</v>
      </c>
      <c r="L32" s="57">
        <f t="shared" si="12"/>
        <v>0</v>
      </c>
      <c r="M32" s="61">
        <f t="shared" si="13"/>
        <v>0</v>
      </c>
      <c r="N32" s="58">
        <f t="shared" si="14"/>
        <v>1</v>
      </c>
      <c r="O32" s="217"/>
      <c r="P32" s="235"/>
      <c r="Q32" s="236"/>
      <c r="R32" s="237"/>
      <c r="S32" s="1">
        <f t="shared" si="3"/>
        <v>220</v>
      </c>
      <c r="T32" s="1"/>
      <c r="U32" s="1"/>
      <c r="V32" s="1"/>
      <c r="W32" s="1">
        <v>66</v>
      </c>
      <c r="X32" s="1">
        <v>154</v>
      </c>
      <c r="Y32" s="1"/>
      <c r="Z32" s="1"/>
      <c r="AA32" s="1"/>
      <c r="AB32" s="1"/>
      <c r="AD32" s="1"/>
      <c r="AE32" s="1"/>
      <c r="AF32" s="1"/>
      <c r="AG32" s="1"/>
      <c r="AH32" s="1"/>
      <c r="AI32" s="1"/>
      <c r="AJ32" s="1"/>
      <c r="AK32" s="1"/>
    </row>
    <row r="33" spans="1:37" s="3" customFormat="1" ht="39.950000000000003" customHeight="1" x14ac:dyDescent="0.25">
      <c r="A33" s="309" t="s">
        <v>493</v>
      </c>
      <c r="B33" s="310"/>
      <c r="C33" s="310"/>
      <c r="D33" s="310"/>
      <c r="E33" s="311"/>
      <c r="F33" s="62"/>
      <c r="G33" s="62">
        <f>SUM(G27:G32)</f>
        <v>166813.74</v>
      </c>
      <c r="H33" s="63"/>
      <c r="I33" s="62">
        <f>SUM(I27:I32)</f>
        <v>138599.41</v>
      </c>
      <c r="J33" s="74"/>
      <c r="K33" s="62">
        <f>SUM(K27:K32)</f>
        <v>2395.85</v>
      </c>
      <c r="L33" s="65"/>
      <c r="M33" s="62">
        <f>SUM(M27:M32)</f>
        <v>28214.33</v>
      </c>
      <c r="N33" s="75">
        <f t="shared" si="14"/>
        <v>0.83089999999999997</v>
      </c>
      <c r="O33" s="217"/>
      <c r="P33" s="235"/>
      <c r="Q33" s="236"/>
      <c r="R33" s="237"/>
      <c r="S33" s="1">
        <f t="shared" si="3"/>
        <v>0</v>
      </c>
      <c r="T33" s="1"/>
      <c r="U33" s="1"/>
      <c r="V33" s="1"/>
      <c r="W33" s="1"/>
      <c r="X33" s="1"/>
      <c r="Y33" s="1"/>
      <c r="Z33" s="1"/>
      <c r="AA33" s="1"/>
      <c r="AB33" s="1"/>
      <c r="AD33" s="1"/>
      <c r="AE33" s="1"/>
      <c r="AF33" s="1"/>
      <c r="AG33" s="1"/>
      <c r="AH33" s="1"/>
      <c r="AI33" s="1"/>
      <c r="AJ33" s="1"/>
      <c r="AK33" s="1"/>
    </row>
    <row r="34" spans="1:37" s="3" customFormat="1" ht="39.950000000000003" customHeight="1" x14ac:dyDescent="0.25">
      <c r="A34" s="47">
        <v>1</v>
      </c>
      <c r="B34" s="47" t="s">
        <v>24</v>
      </c>
      <c r="C34" s="291" t="s">
        <v>65</v>
      </c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3"/>
      <c r="O34" s="217"/>
      <c r="P34" s="235"/>
      <c r="Q34" s="236"/>
      <c r="R34" s="237"/>
      <c r="S34" s="1">
        <f t="shared" si="3"/>
        <v>0</v>
      </c>
      <c r="T34" s="1"/>
      <c r="U34" s="1"/>
      <c r="V34" s="1"/>
      <c r="W34" s="1"/>
      <c r="X34" s="1"/>
      <c r="Y34" s="1"/>
      <c r="Z34" s="1"/>
      <c r="AA34" s="1"/>
      <c r="AB34" s="1"/>
      <c r="AD34" s="1"/>
      <c r="AE34" s="1"/>
      <c r="AF34" s="1"/>
      <c r="AG34" s="1"/>
      <c r="AH34" s="1"/>
      <c r="AI34" s="1"/>
      <c r="AJ34" s="1"/>
      <c r="AK34" s="1"/>
    </row>
    <row r="35" spans="1:37" s="3" customFormat="1" ht="39.950000000000003" customHeight="1" x14ac:dyDescent="0.25">
      <c r="A35" s="156">
        <v>1</v>
      </c>
      <c r="B35" s="156" t="s">
        <v>25</v>
      </c>
      <c r="C35" s="157" t="s">
        <v>131</v>
      </c>
      <c r="D35" s="158" t="s">
        <v>124</v>
      </c>
      <c r="E35" s="159">
        <v>57250</v>
      </c>
      <c r="F35" s="160">
        <v>0.47</v>
      </c>
      <c r="G35" s="161">
        <f t="shared" ref="G35" si="16">E35*F35</f>
        <v>26907.5</v>
      </c>
      <c r="H35" s="162">
        <f t="shared" ref="H35:H65" si="17">S35+J35</f>
        <v>57250</v>
      </c>
      <c r="I35" s="161">
        <f t="shared" si="9"/>
        <v>26907.5</v>
      </c>
      <c r="J35" s="135"/>
      <c r="K35" s="136">
        <f t="shared" si="10"/>
        <v>0</v>
      </c>
      <c r="L35" s="163">
        <f t="shared" ref="L35:L65" si="18">E35-H35</f>
        <v>0</v>
      </c>
      <c r="M35" s="161">
        <f t="shared" ref="M35:M65" si="19">L35*F35</f>
        <v>0</v>
      </c>
      <c r="N35" s="164">
        <f t="shared" ref="N35:N66" si="20">IF(G35=0,"",I35/G35)</f>
        <v>1</v>
      </c>
      <c r="O35" s="217"/>
      <c r="P35" s="235">
        <v>29112.91</v>
      </c>
      <c r="Q35" s="239">
        <f>F35*P35</f>
        <v>13683.07</v>
      </c>
      <c r="R35" s="240"/>
      <c r="S35" s="1">
        <f t="shared" si="3"/>
        <v>57250</v>
      </c>
      <c r="T35" s="1">
        <v>7102.5</v>
      </c>
      <c r="U35" s="1">
        <v>1500</v>
      </c>
      <c r="V35" s="1">
        <v>38254.959999999999</v>
      </c>
      <c r="W35" s="1">
        <v>8420</v>
      </c>
      <c r="X35" s="1">
        <v>1000</v>
      </c>
      <c r="Y35" s="1">
        <v>972.54</v>
      </c>
      <c r="Z35" s="1"/>
      <c r="AA35" s="1"/>
      <c r="AB35" s="1"/>
      <c r="AD35" s="1"/>
      <c r="AE35" s="1"/>
      <c r="AF35" s="1"/>
      <c r="AG35" s="1"/>
      <c r="AH35" s="1"/>
      <c r="AI35" s="1"/>
      <c r="AJ35" s="1"/>
      <c r="AK35" s="1"/>
    </row>
    <row r="36" spans="1:37" s="3" customFormat="1" ht="39.950000000000003" customHeight="1" x14ac:dyDescent="0.25">
      <c r="A36" s="48">
        <v>1</v>
      </c>
      <c r="B36" s="48" t="s">
        <v>26</v>
      </c>
      <c r="C36" s="76" t="s">
        <v>132</v>
      </c>
      <c r="D36" s="78" t="s">
        <v>133</v>
      </c>
      <c r="E36" s="51">
        <v>60</v>
      </c>
      <c r="F36" s="52">
        <v>49.46</v>
      </c>
      <c r="G36" s="53">
        <f t="shared" ref="G36:G50" si="21">E36*F36</f>
        <v>2967.6</v>
      </c>
      <c r="H36" s="54">
        <f t="shared" si="17"/>
        <v>60</v>
      </c>
      <c r="I36" s="53">
        <f t="shared" si="9"/>
        <v>2967.6</v>
      </c>
      <c r="J36" s="135"/>
      <c r="K36" s="136">
        <f t="shared" si="10"/>
        <v>0</v>
      </c>
      <c r="L36" s="57">
        <f t="shared" si="18"/>
        <v>0</v>
      </c>
      <c r="M36" s="53">
        <f t="shared" si="19"/>
        <v>0</v>
      </c>
      <c r="N36" s="58">
        <f t="shared" si="20"/>
        <v>1</v>
      </c>
      <c r="O36" s="217"/>
      <c r="P36" s="235"/>
      <c r="Q36" s="236"/>
      <c r="R36" s="237"/>
      <c r="S36" s="1">
        <f t="shared" si="3"/>
        <v>60</v>
      </c>
      <c r="T36" s="1"/>
      <c r="U36" s="1"/>
      <c r="V36" s="1"/>
      <c r="W36" s="1"/>
      <c r="X36" s="1">
        <v>60</v>
      </c>
      <c r="Y36" s="1"/>
      <c r="Z36" s="1"/>
      <c r="AA36" s="1"/>
      <c r="AB36" s="1"/>
      <c r="AD36" s="1"/>
      <c r="AE36" s="1"/>
      <c r="AF36" s="1"/>
      <c r="AG36" s="1"/>
      <c r="AH36" s="1"/>
      <c r="AI36" s="1"/>
      <c r="AJ36" s="1"/>
      <c r="AK36" s="1"/>
    </row>
    <row r="37" spans="1:37" s="3" customFormat="1" ht="39.950000000000003" customHeight="1" x14ac:dyDescent="0.25">
      <c r="A37" s="156">
        <v>1</v>
      </c>
      <c r="B37" s="156" t="s">
        <v>27</v>
      </c>
      <c r="C37" s="157" t="s">
        <v>134</v>
      </c>
      <c r="D37" s="158" t="s">
        <v>135</v>
      </c>
      <c r="E37" s="159">
        <v>17175</v>
      </c>
      <c r="F37" s="160">
        <v>2.04</v>
      </c>
      <c r="G37" s="161">
        <f t="shared" si="21"/>
        <v>35037</v>
      </c>
      <c r="H37" s="162">
        <f t="shared" si="17"/>
        <v>17175</v>
      </c>
      <c r="I37" s="161">
        <f t="shared" si="9"/>
        <v>35037</v>
      </c>
      <c r="J37" s="135"/>
      <c r="K37" s="136">
        <f t="shared" si="10"/>
        <v>0</v>
      </c>
      <c r="L37" s="163">
        <f t="shared" si="18"/>
        <v>0</v>
      </c>
      <c r="M37" s="161">
        <f t="shared" si="19"/>
        <v>0</v>
      </c>
      <c r="N37" s="164">
        <f t="shared" si="20"/>
        <v>1</v>
      </c>
      <c r="O37" s="217"/>
      <c r="P37" s="235">
        <v>8733.8700000000008</v>
      </c>
      <c r="Q37" s="239">
        <f>F37*P37</f>
        <v>17817.09</v>
      </c>
      <c r="R37" s="237"/>
      <c r="S37" s="1">
        <f t="shared" si="3"/>
        <v>17175</v>
      </c>
      <c r="T37" s="1"/>
      <c r="U37" s="1"/>
      <c r="V37" s="1"/>
      <c r="W37" s="1">
        <v>16582.46</v>
      </c>
      <c r="X37" s="1">
        <v>300</v>
      </c>
      <c r="Y37" s="1">
        <v>292.54000000000002</v>
      </c>
      <c r="Z37" s="1"/>
      <c r="AA37" s="1"/>
      <c r="AB37" s="1"/>
      <c r="AD37" s="1"/>
      <c r="AE37" s="1"/>
      <c r="AF37" s="1"/>
      <c r="AG37" s="1"/>
      <c r="AH37" s="1"/>
      <c r="AI37" s="1"/>
      <c r="AJ37" s="1"/>
      <c r="AK37" s="1"/>
    </row>
    <row r="38" spans="1:37" s="3" customFormat="1" ht="39.950000000000003" customHeight="1" x14ac:dyDescent="0.25">
      <c r="A38" s="156">
        <v>1</v>
      </c>
      <c r="B38" s="156" t="s">
        <v>28</v>
      </c>
      <c r="C38" s="157" t="s">
        <v>136</v>
      </c>
      <c r="D38" s="165" t="s">
        <v>137</v>
      </c>
      <c r="E38" s="159">
        <v>17175</v>
      </c>
      <c r="F38" s="160">
        <v>3.89</v>
      </c>
      <c r="G38" s="161">
        <f t="shared" si="21"/>
        <v>66810.75</v>
      </c>
      <c r="H38" s="162">
        <f t="shared" si="17"/>
        <v>17175</v>
      </c>
      <c r="I38" s="161">
        <f t="shared" si="9"/>
        <v>66810.75</v>
      </c>
      <c r="J38" s="135"/>
      <c r="K38" s="136">
        <f t="shared" si="10"/>
        <v>0</v>
      </c>
      <c r="L38" s="163">
        <f t="shared" si="18"/>
        <v>0</v>
      </c>
      <c r="M38" s="161">
        <f t="shared" si="19"/>
        <v>0</v>
      </c>
      <c r="N38" s="164">
        <f t="shared" si="20"/>
        <v>1</v>
      </c>
      <c r="O38" s="217"/>
      <c r="P38" s="235">
        <v>7642.65</v>
      </c>
      <c r="Q38" s="239">
        <f>F38*P38</f>
        <v>29729.91</v>
      </c>
      <c r="R38" s="237"/>
      <c r="S38" s="1">
        <f t="shared" si="3"/>
        <v>17175</v>
      </c>
      <c r="T38" s="1"/>
      <c r="U38" s="1"/>
      <c r="V38" s="1"/>
      <c r="W38" s="1">
        <v>16582.46</v>
      </c>
      <c r="X38" s="1">
        <v>300</v>
      </c>
      <c r="Y38" s="1">
        <v>292.54000000000002</v>
      </c>
      <c r="Z38" s="1"/>
      <c r="AA38" s="1"/>
      <c r="AB38" s="1"/>
      <c r="AD38" s="1"/>
      <c r="AE38" s="1"/>
      <c r="AF38" s="1"/>
      <c r="AG38" s="1"/>
      <c r="AH38" s="1"/>
      <c r="AI38" s="1"/>
      <c r="AJ38" s="1"/>
      <c r="AK38" s="1"/>
    </row>
    <row r="39" spans="1:37" s="3" customFormat="1" ht="39.950000000000003" customHeight="1" x14ac:dyDescent="0.25">
      <c r="A39" s="166">
        <v>1</v>
      </c>
      <c r="B39" s="166" t="s">
        <v>29</v>
      </c>
      <c r="C39" s="167" t="s">
        <v>138</v>
      </c>
      <c r="D39" s="175" t="s">
        <v>137</v>
      </c>
      <c r="E39" s="169">
        <v>343500</v>
      </c>
      <c r="F39" s="170">
        <v>1.19</v>
      </c>
      <c r="G39" s="171">
        <f t="shared" si="21"/>
        <v>408765</v>
      </c>
      <c r="H39" s="172">
        <f t="shared" si="17"/>
        <v>37744</v>
      </c>
      <c r="I39" s="171">
        <f t="shared" si="9"/>
        <v>44915.360000000001</v>
      </c>
      <c r="J39" s="137"/>
      <c r="K39" s="136">
        <f t="shared" si="10"/>
        <v>0</v>
      </c>
      <c r="L39" s="173">
        <f t="shared" si="18"/>
        <v>305756</v>
      </c>
      <c r="M39" s="171">
        <f t="shared" si="19"/>
        <v>363849.64</v>
      </c>
      <c r="N39" s="174">
        <f t="shared" si="20"/>
        <v>0.10988000000000001</v>
      </c>
      <c r="O39" s="217"/>
      <c r="P39" s="241">
        <v>-36358.15</v>
      </c>
      <c r="Q39" s="242">
        <f>F39*P39</f>
        <v>-43266.2</v>
      </c>
      <c r="R39" s="237"/>
      <c r="S39" s="1">
        <f t="shared" si="3"/>
        <v>37744</v>
      </c>
      <c r="T39" s="1"/>
      <c r="U39" s="1"/>
      <c r="V39" s="1"/>
      <c r="W39" s="1">
        <v>18872</v>
      </c>
      <c r="X39" s="1">
        <v>18872</v>
      </c>
      <c r="Y39" s="1"/>
      <c r="Z39" s="1"/>
      <c r="AA39" s="1"/>
      <c r="AB39" s="1"/>
      <c r="AD39" s="1"/>
      <c r="AE39" s="1"/>
      <c r="AF39" s="1"/>
      <c r="AG39" s="1"/>
      <c r="AH39" s="1"/>
      <c r="AI39" s="1"/>
      <c r="AJ39" s="1"/>
      <c r="AK39" s="1"/>
    </row>
    <row r="40" spans="1:37" s="3" customFormat="1" ht="39.950000000000003" customHeight="1" x14ac:dyDescent="0.25">
      <c r="A40" s="156">
        <v>1</v>
      </c>
      <c r="B40" s="156" t="s">
        <v>30</v>
      </c>
      <c r="C40" s="157" t="s">
        <v>139</v>
      </c>
      <c r="D40" s="158" t="s">
        <v>135</v>
      </c>
      <c r="E40" s="159">
        <v>17175</v>
      </c>
      <c r="F40" s="160">
        <v>1.95</v>
      </c>
      <c r="G40" s="161">
        <f t="shared" si="21"/>
        <v>33491.25</v>
      </c>
      <c r="H40" s="162">
        <f t="shared" si="17"/>
        <v>17175</v>
      </c>
      <c r="I40" s="161">
        <f t="shared" si="9"/>
        <v>33491.25</v>
      </c>
      <c r="J40" s="135"/>
      <c r="K40" s="136">
        <f t="shared" si="10"/>
        <v>0</v>
      </c>
      <c r="L40" s="163">
        <f t="shared" si="18"/>
        <v>0</v>
      </c>
      <c r="M40" s="161">
        <f t="shared" si="19"/>
        <v>0</v>
      </c>
      <c r="N40" s="164">
        <f t="shared" si="20"/>
        <v>1</v>
      </c>
      <c r="O40" s="217"/>
      <c r="P40" s="235">
        <v>8733.8700000000008</v>
      </c>
      <c r="Q40" s="239">
        <f>F40*P40</f>
        <v>17031.05</v>
      </c>
      <c r="R40" s="237"/>
      <c r="S40" s="1">
        <f t="shared" si="3"/>
        <v>17175</v>
      </c>
      <c r="T40" s="1"/>
      <c r="U40" s="1"/>
      <c r="V40" s="1"/>
      <c r="W40" s="1">
        <v>16582.46</v>
      </c>
      <c r="X40" s="1">
        <v>300</v>
      </c>
      <c r="Y40" s="1">
        <v>292.54000000000002</v>
      </c>
      <c r="Z40" s="243"/>
      <c r="AA40" s="1"/>
      <c r="AB40" s="1"/>
      <c r="AD40" s="1"/>
      <c r="AE40" s="1"/>
      <c r="AF40" s="1"/>
      <c r="AG40" s="1"/>
      <c r="AH40" s="1"/>
      <c r="AI40" s="1"/>
      <c r="AJ40" s="1"/>
      <c r="AK40" s="1"/>
    </row>
    <row r="41" spans="1:37" s="3" customFormat="1" ht="39.950000000000003" customHeight="1" x14ac:dyDescent="0.25">
      <c r="A41" s="156">
        <v>1</v>
      </c>
      <c r="B41" s="156" t="s">
        <v>31</v>
      </c>
      <c r="C41" s="157" t="s">
        <v>140</v>
      </c>
      <c r="D41" s="158" t="s">
        <v>135</v>
      </c>
      <c r="E41" s="159">
        <v>123741.46</v>
      </c>
      <c r="F41" s="160">
        <v>3.75</v>
      </c>
      <c r="G41" s="161">
        <f t="shared" si="21"/>
        <v>464030.48</v>
      </c>
      <c r="H41" s="162">
        <f t="shared" si="17"/>
        <v>123741.46</v>
      </c>
      <c r="I41" s="161">
        <f t="shared" si="9"/>
        <v>464030.48</v>
      </c>
      <c r="J41" s="135"/>
      <c r="K41" s="136">
        <f t="shared" si="10"/>
        <v>0</v>
      </c>
      <c r="L41" s="163">
        <f t="shared" si="18"/>
        <v>0</v>
      </c>
      <c r="M41" s="161">
        <f t="shared" si="19"/>
        <v>0</v>
      </c>
      <c r="N41" s="58">
        <f t="shared" si="20"/>
        <v>1</v>
      </c>
      <c r="O41" s="217"/>
      <c r="P41" s="235"/>
      <c r="Q41" s="236"/>
      <c r="R41" s="237"/>
      <c r="S41" s="1">
        <f>SUM(T41:AK41)</f>
        <v>123741.46</v>
      </c>
      <c r="T41" s="1"/>
      <c r="U41" s="1"/>
      <c r="V41" s="1"/>
      <c r="W41" s="1">
        <v>22346</v>
      </c>
      <c r="X41" s="1">
        <v>20952.650000000001</v>
      </c>
      <c r="Y41" s="1">
        <v>23766.89</v>
      </c>
      <c r="Z41" s="244">
        <v>1049.4000000000001</v>
      </c>
      <c r="AA41" s="1">
        <v>16637.62</v>
      </c>
      <c r="AB41" s="1">
        <v>30665.59</v>
      </c>
      <c r="AC41" s="3">
        <v>649.11</v>
      </c>
      <c r="AD41" s="1">
        <v>6385.37</v>
      </c>
      <c r="AE41" s="1">
        <v>1288.83</v>
      </c>
      <c r="AF41" s="1"/>
      <c r="AG41" s="1"/>
      <c r="AH41" s="1"/>
      <c r="AI41" s="1"/>
      <c r="AJ41" s="1"/>
      <c r="AK41" s="1"/>
    </row>
    <row r="42" spans="1:37" s="3" customFormat="1" ht="39.950000000000003" customHeight="1" x14ac:dyDescent="0.25">
      <c r="A42" s="166">
        <v>1</v>
      </c>
      <c r="B42" s="166" t="s">
        <v>32</v>
      </c>
      <c r="C42" s="167" t="s">
        <v>141</v>
      </c>
      <c r="D42" s="168" t="s">
        <v>135</v>
      </c>
      <c r="E42" s="169">
        <v>13749.05</v>
      </c>
      <c r="F42" s="170">
        <v>11.7</v>
      </c>
      <c r="G42" s="171">
        <f t="shared" si="21"/>
        <v>160863.89000000001</v>
      </c>
      <c r="H42" s="172">
        <f t="shared" si="17"/>
        <v>1000</v>
      </c>
      <c r="I42" s="171">
        <f t="shared" si="9"/>
        <v>11700</v>
      </c>
      <c r="J42" s="137"/>
      <c r="K42" s="136">
        <f t="shared" si="10"/>
        <v>0</v>
      </c>
      <c r="L42" s="173">
        <f t="shared" si="18"/>
        <v>12749.05</v>
      </c>
      <c r="M42" s="171">
        <f t="shared" si="19"/>
        <v>149163.89000000001</v>
      </c>
      <c r="N42" s="174">
        <f t="shared" si="20"/>
        <v>7.2730000000000003E-2</v>
      </c>
      <c r="O42" s="217"/>
      <c r="P42" s="241">
        <v>-1000</v>
      </c>
      <c r="Q42" s="242">
        <f>F42*P42</f>
        <v>-11700</v>
      </c>
      <c r="R42" s="237"/>
      <c r="S42" s="1">
        <f t="shared" si="3"/>
        <v>1000</v>
      </c>
      <c r="T42" s="1"/>
      <c r="U42" s="1"/>
      <c r="V42" s="1"/>
      <c r="W42" s="1"/>
      <c r="X42" s="1">
        <v>1000</v>
      </c>
      <c r="Y42" s="1"/>
      <c r="Z42" s="245"/>
      <c r="AA42" s="1"/>
      <c r="AB42" s="1"/>
      <c r="AD42" s="1"/>
      <c r="AE42" s="1"/>
      <c r="AF42" s="1"/>
      <c r="AG42" s="1"/>
      <c r="AH42" s="1"/>
      <c r="AI42" s="1"/>
      <c r="AJ42" s="1"/>
      <c r="AK42" s="1"/>
    </row>
    <row r="43" spans="1:37" s="3" customFormat="1" ht="39.950000000000003" customHeight="1" x14ac:dyDescent="0.25">
      <c r="A43" s="156">
        <v>1</v>
      </c>
      <c r="B43" s="156" t="s">
        <v>33</v>
      </c>
      <c r="C43" s="157" t="s">
        <v>142</v>
      </c>
      <c r="D43" s="158" t="s">
        <v>143</v>
      </c>
      <c r="E43" s="159">
        <v>137490.51</v>
      </c>
      <c r="F43" s="160">
        <v>2.9</v>
      </c>
      <c r="G43" s="161">
        <f t="shared" si="21"/>
        <v>398722.48</v>
      </c>
      <c r="H43" s="162">
        <f t="shared" si="17"/>
        <v>137490.51</v>
      </c>
      <c r="I43" s="161">
        <f t="shared" si="9"/>
        <v>398722.48</v>
      </c>
      <c r="J43" s="135"/>
      <c r="K43" s="136">
        <f t="shared" si="10"/>
        <v>0</v>
      </c>
      <c r="L43" s="163">
        <f t="shared" si="18"/>
        <v>0</v>
      </c>
      <c r="M43" s="161">
        <f t="shared" si="19"/>
        <v>0</v>
      </c>
      <c r="N43" s="58">
        <f t="shared" si="20"/>
        <v>1</v>
      </c>
      <c r="O43" s="217"/>
      <c r="P43" s="235">
        <f>19845.67</f>
        <v>19845.669999999998</v>
      </c>
      <c r="Q43" s="239">
        <f>F43*P43</f>
        <v>57552.44</v>
      </c>
      <c r="R43" s="237"/>
      <c r="S43" s="1">
        <f t="shared" si="3"/>
        <v>137490.51</v>
      </c>
      <c r="T43" s="1"/>
      <c r="U43" s="1"/>
      <c r="V43" s="1"/>
      <c r="W43" s="1">
        <v>24804.06</v>
      </c>
      <c r="X43" s="1">
        <v>20952.650000000001</v>
      </c>
      <c r="Y43" s="1">
        <v>23766.89</v>
      </c>
      <c r="Z43" s="244">
        <v>39298.1</v>
      </c>
      <c r="AA43" s="1">
        <v>17199.78</v>
      </c>
      <c r="AB43" s="1">
        <v>11469.03</v>
      </c>
      <c r="AD43" s="1"/>
      <c r="AE43" s="1"/>
      <c r="AF43" s="1"/>
      <c r="AG43" s="1"/>
      <c r="AH43" s="1"/>
      <c r="AI43" s="1"/>
      <c r="AJ43" s="1"/>
      <c r="AK43" s="1"/>
    </row>
    <row r="44" spans="1:37" s="3" customFormat="1" ht="39.950000000000003" customHeight="1" x14ac:dyDescent="0.25">
      <c r="A44" s="48">
        <v>1</v>
      </c>
      <c r="B44" s="48" t="s">
        <v>34</v>
      </c>
      <c r="C44" s="76" t="s">
        <v>144</v>
      </c>
      <c r="D44" s="77" t="s">
        <v>135</v>
      </c>
      <c r="E44" s="51">
        <v>111233.07</v>
      </c>
      <c r="F44" s="52">
        <v>4.7</v>
      </c>
      <c r="G44" s="53">
        <f t="shared" si="21"/>
        <v>522795.43</v>
      </c>
      <c r="H44" s="54">
        <f t="shared" si="17"/>
        <v>98832.05</v>
      </c>
      <c r="I44" s="53">
        <f t="shared" si="9"/>
        <v>464510.64</v>
      </c>
      <c r="J44" s="135">
        <f>98832.05-98259.41</f>
        <v>572.64</v>
      </c>
      <c r="K44" s="136">
        <f t="shared" si="10"/>
        <v>2691.41</v>
      </c>
      <c r="L44" s="57">
        <f t="shared" si="18"/>
        <v>12401.02</v>
      </c>
      <c r="M44" s="53">
        <f t="shared" si="19"/>
        <v>58284.79</v>
      </c>
      <c r="N44" s="58">
        <f t="shared" si="20"/>
        <v>0.88851000000000002</v>
      </c>
      <c r="O44" s="217"/>
      <c r="P44" s="235"/>
      <c r="Q44" s="236"/>
      <c r="R44" s="237"/>
      <c r="S44" s="1">
        <f t="shared" si="3"/>
        <v>98259.41</v>
      </c>
      <c r="T44" s="1"/>
      <c r="U44" s="1"/>
      <c r="V44" s="1"/>
      <c r="W44" s="1">
        <v>18760</v>
      </c>
      <c r="X44" s="1">
        <v>13877.42</v>
      </c>
      <c r="Y44" s="1">
        <v>23317.74</v>
      </c>
      <c r="Z44" s="244">
        <v>3489.35</v>
      </c>
      <c r="AA44" s="1">
        <v>10306.93</v>
      </c>
      <c r="AB44" s="1">
        <v>14723</v>
      </c>
      <c r="AC44" s="3">
        <v>2339.54</v>
      </c>
      <c r="AD44" s="1">
        <v>6020.78</v>
      </c>
      <c r="AE44" s="1">
        <v>5424.65</v>
      </c>
      <c r="AF44" s="1"/>
      <c r="AG44" s="1"/>
      <c r="AH44" s="1"/>
      <c r="AI44" s="1"/>
      <c r="AJ44" s="1"/>
      <c r="AK44" s="1"/>
    </row>
    <row r="45" spans="1:37" s="3" customFormat="1" ht="39.950000000000003" customHeight="1" x14ac:dyDescent="0.25">
      <c r="A45" s="48">
        <v>1</v>
      </c>
      <c r="B45" s="48" t="s">
        <v>72</v>
      </c>
      <c r="C45" s="76" t="s">
        <v>145</v>
      </c>
      <c r="D45" s="77" t="s">
        <v>135</v>
      </c>
      <c r="E45" s="51">
        <v>315</v>
      </c>
      <c r="F45" s="52">
        <v>92.25</v>
      </c>
      <c r="G45" s="61">
        <f t="shared" si="21"/>
        <v>29058.75</v>
      </c>
      <c r="H45" s="54">
        <f t="shared" si="17"/>
        <v>0</v>
      </c>
      <c r="I45" s="53">
        <f t="shared" si="9"/>
        <v>0</v>
      </c>
      <c r="J45" s="135"/>
      <c r="K45" s="134">
        <f t="shared" si="10"/>
        <v>0</v>
      </c>
      <c r="L45" s="57">
        <f t="shared" si="18"/>
        <v>315</v>
      </c>
      <c r="M45" s="53">
        <f t="shared" si="19"/>
        <v>29058.75</v>
      </c>
      <c r="N45" s="58">
        <f t="shared" si="20"/>
        <v>0</v>
      </c>
      <c r="O45" s="217"/>
      <c r="P45" s="235"/>
      <c r="Q45" s="236"/>
      <c r="R45" s="237"/>
      <c r="S45" s="1">
        <f t="shared" si="3"/>
        <v>0</v>
      </c>
      <c r="T45" s="1"/>
      <c r="U45" s="1"/>
      <c r="V45" s="1"/>
      <c r="W45" s="1"/>
      <c r="X45" s="1"/>
      <c r="Y45" s="1"/>
      <c r="Z45" s="243"/>
      <c r="AA45" s="1"/>
      <c r="AB45" s="1"/>
      <c r="AD45" s="1"/>
      <c r="AE45" s="1"/>
      <c r="AF45" s="1"/>
      <c r="AG45" s="1"/>
      <c r="AH45" s="1"/>
      <c r="AI45" s="1"/>
      <c r="AJ45" s="1"/>
      <c r="AK45" s="1"/>
    </row>
    <row r="46" spans="1:37" s="3" customFormat="1" ht="39.950000000000003" customHeight="1" x14ac:dyDescent="0.25">
      <c r="A46" s="48">
        <v>1</v>
      </c>
      <c r="B46" s="48" t="s">
        <v>73</v>
      </c>
      <c r="C46" s="60" t="s">
        <v>146</v>
      </c>
      <c r="D46" s="77" t="s">
        <v>135</v>
      </c>
      <c r="E46" s="51">
        <v>460</v>
      </c>
      <c r="F46" s="52">
        <v>52.1</v>
      </c>
      <c r="G46" s="61">
        <f t="shared" si="21"/>
        <v>23966</v>
      </c>
      <c r="H46" s="54">
        <f t="shared" si="17"/>
        <v>0</v>
      </c>
      <c r="I46" s="53">
        <f t="shared" si="9"/>
        <v>0</v>
      </c>
      <c r="J46" s="135"/>
      <c r="K46" s="136">
        <f t="shared" si="10"/>
        <v>0</v>
      </c>
      <c r="L46" s="57">
        <f t="shared" si="18"/>
        <v>460</v>
      </c>
      <c r="M46" s="53">
        <f t="shared" si="19"/>
        <v>23966</v>
      </c>
      <c r="N46" s="58">
        <f t="shared" si="20"/>
        <v>0</v>
      </c>
      <c r="O46" s="217"/>
      <c r="P46" s="235"/>
      <c r="Q46" s="236"/>
      <c r="R46" s="237"/>
      <c r="S46" s="1">
        <f t="shared" si="3"/>
        <v>0</v>
      </c>
      <c r="T46" s="1"/>
      <c r="U46" s="1"/>
      <c r="V46" s="1"/>
      <c r="W46" s="1"/>
      <c r="X46" s="1"/>
      <c r="Y46" s="1"/>
      <c r="Z46" s="243"/>
      <c r="AA46" s="1"/>
      <c r="AB46" s="1"/>
      <c r="AD46" s="1"/>
      <c r="AE46" s="1"/>
      <c r="AF46" s="1"/>
      <c r="AG46" s="1"/>
      <c r="AH46" s="1"/>
      <c r="AI46" s="1"/>
      <c r="AJ46" s="1"/>
      <c r="AK46" s="1"/>
    </row>
    <row r="47" spans="1:37" s="3" customFormat="1" ht="39.950000000000003" customHeight="1" x14ac:dyDescent="0.25">
      <c r="A47" s="48">
        <v>1</v>
      </c>
      <c r="B47" s="48" t="s">
        <v>74</v>
      </c>
      <c r="C47" s="76" t="s">
        <v>147</v>
      </c>
      <c r="D47" s="77" t="s">
        <v>135</v>
      </c>
      <c r="E47" s="51">
        <v>110</v>
      </c>
      <c r="F47" s="52">
        <v>231.58</v>
      </c>
      <c r="G47" s="61">
        <f t="shared" si="21"/>
        <v>25473.8</v>
      </c>
      <c r="H47" s="54">
        <f t="shared" si="17"/>
        <v>0</v>
      </c>
      <c r="I47" s="55">
        <f t="shared" si="9"/>
        <v>0</v>
      </c>
      <c r="J47" s="135"/>
      <c r="K47" s="134">
        <f t="shared" si="10"/>
        <v>0</v>
      </c>
      <c r="L47" s="57">
        <f t="shared" si="18"/>
        <v>110</v>
      </c>
      <c r="M47" s="53">
        <f t="shared" si="19"/>
        <v>25473.8</v>
      </c>
      <c r="N47" s="58">
        <f t="shared" si="20"/>
        <v>0</v>
      </c>
      <c r="O47" s="217"/>
      <c r="P47" s="235"/>
      <c r="Q47" s="236"/>
      <c r="R47" s="237"/>
      <c r="S47" s="1">
        <f t="shared" si="3"/>
        <v>0</v>
      </c>
      <c r="T47" s="1"/>
      <c r="U47" s="1"/>
      <c r="V47" s="1"/>
      <c r="W47" s="1"/>
      <c r="X47" s="1"/>
      <c r="Y47" s="1"/>
      <c r="Z47" s="1"/>
      <c r="AA47" s="1"/>
      <c r="AB47" s="1"/>
      <c r="AD47" s="1"/>
      <c r="AE47" s="1"/>
      <c r="AF47" s="1"/>
      <c r="AG47" s="1"/>
      <c r="AH47" s="1"/>
      <c r="AI47" s="1"/>
      <c r="AJ47" s="1"/>
      <c r="AK47" s="1"/>
    </row>
    <row r="48" spans="1:37" s="3" customFormat="1" ht="39.950000000000003" customHeight="1" x14ac:dyDescent="0.25">
      <c r="A48" s="48">
        <v>1</v>
      </c>
      <c r="B48" s="48" t="s">
        <v>75</v>
      </c>
      <c r="C48" s="80" t="s">
        <v>148</v>
      </c>
      <c r="D48" s="81" t="s">
        <v>137</v>
      </c>
      <c r="E48" s="51">
        <v>23020</v>
      </c>
      <c r="F48" s="73">
        <v>0.8</v>
      </c>
      <c r="G48" s="53">
        <f t="shared" si="21"/>
        <v>18416</v>
      </c>
      <c r="H48" s="54">
        <f t="shared" si="17"/>
        <v>0</v>
      </c>
      <c r="I48" s="55">
        <f t="shared" si="9"/>
        <v>0</v>
      </c>
      <c r="J48" s="135"/>
      <c r="K48" s="134">
        <f t="shared" si="10"/>
        <v>0</v>
      </c>
      <c r="L48" s="57">
        <f t="shared" si="18"/>
        <v>23020</v>
      </c>
      <c r="M48" s="53">
        <f t="shared" si="19"/>
        <v>18416</v>
      </c>
      <c r="N48" s="58">
        <f t="shared" si="20"/>
        <v>0</v>
      </c>
      <c r="O48" s="217"/>
      <c r="P48" s="235"/>
      <c r="Q48" s="236"/>
      <c r="R48" s="237"/>
      <c r="S48" s="1">
        <f t="shared" si="3"/>
        <v>0</v>
      </c>
      <c r="T48" s="1"/>
      <c r="U48" s="1"/>
      <c r="V48" s="1"/>
      <c r="W48" s="1"/>
      <c r="X48" s="1"/>
      <c r="Y48" s="1"/>
      <c r="Z48" s="1"/>
      <c r="AA48" s="1"/>
      <c r="AB48" s="1"/>
      <c r="AD48" s="1"/>
      <c r="AE48" s="1"/>
      <c r="AF48" s="1"/>
      <c r="AG48" s="1"/>
      <c r="AH48" s="1"/>
      <c r="AI48" s="1"/>
      <c r="AJ48" s="1"/>
      <c r="AK48" s="1"/>
    </row>
    <row r="49" spans="1:37" s="3" customFormat="1" ht="39.950000000000003" customHeight="1" x14ac:dyDescent="0.25">
      <c r="A49" s="48">
        <v>1</v>
      </c>
      <c r="B49" s="48" t="s">
        <v>76</v>
      </c>
      <c r="C49" s="80" t="s">
        <v>149</v>
      </c>
      <c r="D49" s="71" t="s">
        <v>42</v>
      </c>
      <c r="E49" s="51">
        <v>67</v>
      </c>
      <c r="F49" s="73">
        <v>1493.61</v>
      </c>
      <c r="G49" s="53">
        <f t="shared" si="21"/>
        <v>100071.87</v>
      </c>
      <c r="H49" s="54">
        <f t="shared" si="17"/>
        <v>0</v>
      </c>
      <c r="I49" s="55">
        <f t="shared" si="9"/>
        <v>0</v>
      </c>
      <c r="J49" s="135"/>
      <c r="K49" s="134">
        <f t="shared" si="10"/>
        <v>0</v>
      </c>
      <c r="L49" s="57">
        <f t="shared" si="18"/>
        <v>67</v>
      </c>
      <c r="M49" s="53">
        <f t="shared" si="19"/>
        <v>100071.87</v>
      </c>
      <c r="N49" s="58">
        <f t="shared" si="20"/>
        <v>0</v>
      </c>
      <c r="O49" s="217"/>
      <c r="P49" s="235"/>
      <c r="Q49" s="236"/>
      <c r="R49" s="237"/>
      <c r="S49" s="1">
        <f t="shared" si="3"/>
        <v>0</v>
      </c>
      <c r="T49" s="1"/>
      <c r="U49" s="1"/>
      <c r="V49" s="1"/>
      <c r="W49" s="1"/>
      <c r="X49" s="1"/>
      <c r="Y49" s="1"/>
      <c r="Z49" s="1"/>
      <c r="AA49" s="1"/>
      <c r="AB49" s="1"/>
      <c r="AD49" s="1"/>
      <c r="AE49" s="1"/>
      <c r="AF49" s="1"/>
      <c r="AG49" s="1"/>
      <c r="AH49" s="1"/>
      <c r="AI49" s="1"/>
      <c r="AJ49" s="1"/>
      <c r="AK49" s="1"/>
    </row>
    <row r="50" spans="1:37" s="3" customFormat="1" ht="39.950000000000003" customHeight="1" x14ac:dyDescent="0.25">
      <c r="A50" s="48">
        <v>1</v>
      </c>
      <c r="B50" s="48" t="s">
        <v>77</v>
      </c>
      <c r="C50" s="76" t="s">
        <v>150</v>
      </c>
      <c r="D50" s="77" t="s">
        <v>42</v>
      </c>
      <c r="E50" s="59">
        <v>58</v>
      </c>
      <c r="F50" s="52">
        <v>2602.34</v>
      </c>
      <c r="G50" s="61">
        <f t="shared" si="21"/>
        <v>150935.72</v>
      </c>
      <c r="H50" s="54">
        <f t="shared" si="17"/>
        <v>0</v>
      </c>
      <c r="I50" s="55">
        <f t="shared" si="9"/>
        <v>0</v>
      </c>
      <c r="J50" s="135"/>
      <c r="K50" s="134">
        <f t="shared" si="10"/>
        <v>0</v>
      </c>
      <c r="L50" s="57">
        <f t="shared" si="18"/>
        <v>58</v>
      </c>
      <c r="M50" s="53">
        <f t="shared" si="19"/>
        <v>150935.72</v>
      </c>
      <c r="N50" s="58">
        <f t="shared" si="20"/>
        <v>0</v>
      </c>
      <c r="O50" s="217"/>
      <c r="P50" s="235"/>
      <c r="Q50" s="236"/>
      <c r="R50" s="237"/>
      <c r="S50" s="1">
        <f t="shared" si="3"/>
        <v>0</v>
      </c>
      <c r="T50" s="1"/>
      <c r="U50" s="1"/>
      <c r="V50" s="1"/>
      <c r="W50" s="1"/>
      <c r="X50" s="1"/>
      <c r="Y50" s="1"/>
      <c r="Z50" s="1"/>
      <c r="AA50" s="1"/>
      <c r="AB50" s="1"/>
      <c r="AD50" s="1"/>
      <c r="AE50" s="1"/>
      <c r="AF50" s="1"/>
      <c r="AG50" s="1"/>
      <c r="AH50" s="1"/>
      <c r="AI50" s="1"/>
      <c r="AJ50" s="1"/>
      <c r="AK50" s="1"/>
    </row>
    <row r="51" spans="1:37" s="3" customFormat="1" ht="39.950000000000003" customHeight="1" x14ac:dyDescent="0.25">
      <c r="A51" s="35">
        <v>1</v>
      </c>
      <c r="B51" s="35" t="s">
        <v>78</v>
      </c>
      <c r="C51" s="76" t="s">
        <v>151</v>
      </c>
      <c r="D51" s="77" t="s">
        <v>42</v>
      </c>
      <c r="E51" s="59">
        <v>10</v>
      </c>
      <c r="F51" s="52">
        <v>4835.95</v>
      </c>
      <c r="G51" s="61">
        <f>E51*F51</f>
        <v>48359.5</v>
      </c>
      <c r="H51" s="54">
        <f t="shared" si="17"/>
        <v>0</v>
      </c>
      <c r="I51" s="55">
        <f t="shared" si="9"/>
        <v>0</v>
      </c>
      <c r="J51" s="135"/>
      <c r="K51" s="134">
        <f t="shared" si="10"/>
        <v>0</v>
      </c>
      <c r="L51" s="57">
        <f t="shared" si="18"/>
        <v>10</v>
      </c>
      <c r="M51" s="61">
        <f t="shared" si="19"/>
        <v>48359.5</v>
      </c>
      <c r="N51" s="58">
        <f t="shared" si="20"/>
        <v>0</v>
      </c>
      <c r="O51" s="217"/>
      <c r="P51" s="235"/>
      <c r="Q51" s="236"/>
      <c r="R51" s="237"/>
      <c r="S51" s="1">
        <f t="shared" si="3"/>
        <v>0</v>
      </c>
      <c r="T51" s="1"/>
      <c r="U51" s="1"/>
      <c r="V51" s="1"/>
      <c r="W51" s="1"/>
      <c r="X51" s="1"/>
      <c r="Y51" s="1"/>
      <c r="Z51" s="1"/>
      <c r="AA51" s="1"/>
      <c r="AB51" s="1"/>
      <c r="AD51" s="1"/>
      <c r="AE51" s="1"/>
      <c r="AF51" s="1"/>
      <c r="AG51" s="1"/>
      <c r="AH51" s="1"/>
      <c r="AI51" s="1"/>
      <c r="AJ51" s="1"/>
      <c r="AK51" s="1"/>
    </row>
    <row r="52" spans="1:37" s="3" customFormat="1" ht="39.950000000000003" customHeight="1" x14ac:dyDescent="0.25">
      <c r="A52" s="35">
        <v>1</v>
      </c>
      <c r="B52" s="35" t="s">
        <v>79</v>
      </c>
      <c r="C52" s="49" t="s">
        <v>152</v>
      </c>
      <c r="D52" s="50" t="s">
        <v>42</v>
      </c>
      <c r="E52" s="51">
        <v>200</v>
      </c>
      <c r="F52" s="52">
        <v>37.06</v>
      </c>
      <c r="G52" s="61">
        <f t="shared" ref="G52:G65" si="22">E52*F52</f>
        <v>7412</v>
      </c>
      <c r="H52" s="54">
        <f t="shared" si="17"/>
        <v>0</v>
      </c>
      <c r="I52" s="55">
        <f t="shared" si="9"/>
        <v>0</v>
      </c>
      <c r="J52" s="135"/>
      <c r="K52" s="134">
        <f t="shared" si="10"/>
        <v>0</v>
      </c>
      <c r="L52" s="57">
        <f t="shared" si="18"/>
        <v>200</v>
      </c>
      <c r="M52" s="61">
        <f t="shared" si="19"/>
        <v>7412</v>
      </c>
      <c r="N52" s="58">
        <f t="shared" si="20"/>
        <v>0</v>
      </c>
      <c r="O52" s="217"/>
      <c r="P52" s="235"/>
      <c r="Q52" s="236"/>
      <c r="R52" s="237"/>
      <c r="S52" s="1">
        <f t="shared" si="3"/>
        <v>0</v>
      </c>
      <c r="T52" s="1"/>
      <c r="U52" s="1"/>
      <c r="V52" s="1"/>
      <c r="W52" s="1"/>
      <c r="X52" s="1"/>
      <c r="Y52" s="1"/>
      <c r="Z52" s="1"/>
      <c r="AA52" s="1"/>
      <c r="AB52" s="1"/>
      <c r="AD52" s="1"/>
      <c r="AE52" s="1"/>
      <c r="AF52" s="1"/>
      <c r="AG52" s="1"/>
      <c r="AH52" s="1"/>
      <c r="AI52" s="1"/>
      <c r="AJ52" s="1"/>
      <c r="AK52" s="1"/>
    </row>
    <row r="53" spans="1:37" s="3" customFormat="1" ht="39.950000000000003" customHeight="1" x14ac:dyDescent="0.25">
      <c r="A53" s="35">
        <v>1</v>
      </c>
      <c r="B53" s="35" t="s">
        <v>80</v>
      </c>
      <c r="C53" s="76" t="s">
        <v>153</v>
      </c>
      <c r="D53" s="77" t="s">
        <v>124</v>
      </c>
      <c r="E53" s="59">
        <v>1080</v>
      </c>
      <c r="F53" s="52">
        <v>11.23</v>
      </c>
      <c r="G53" s="61">
        <f t="shared" si="22"/>
        <v>12128.4</v>
      </c>
      <c r="H53" s="54">
        <f t="shared" si="17"/>
        <v>4.38</v>
      </c>
      <c r="I53" s="53">
        <f t="shared" si="9"/>
        <v>49.19</v>
      </c>
      <c r="J53" s="135"/>
      <c r="K53" s="136">
        <f t="shared" si="10"/>
        <v>0</v>
      </c>
      <c r="L53" s="57">
        <f t="shared" si="18"/>
        <v>1075.6199999999999</v>
      </c>
      <c r="M53" s="61">
        <f t="shared" si="19"/>
        <v>12079.21</v>
      </c>
      <c r="N53" s="58">
        <f t="shared" si="20"/>
        <v>4.0600000000000002E-3</v>
      </c>
      <c r="O53" s="217"/>
      <c r="P53" s="235"/>
      <c r="Q53" s="236"/>
      <c r="R53" s="237"/>
      <c r="S53" s="1">
        <f t="shared" si="3"/>
        <v>4.38</v>
      </c>
      <c r="T53" s="1"/>
      <c r="U53" s="1"/>
      <c r="V53" s="1"/>
      <c r="W53" s="1"/>
      <c r="X53" s="1"/>
      <c r="Y53" s="1"/>
      <c r="Z53" s="1"/>
      <c r="AA53" s="1"/>
      <c r="AB53" s="1"/>
      <c r="AD53" s="1">
        <v>4.38</v>
      </c>
      <c r="AE53" s="1"/>
      <c r="AF53" s="1"/>
      <c r="AG53" s="1"/>
      <c r="AH53" s="1"/>
      <c r="AI53" s="1"/>
      <c r="AJ53" s="1"/>
      <c r="AK53" s="1"/>
    </row>
    <row r="54" spans="1:37" s="3" customFormat="1" ht="36" x14ac:dyDescent="0.25">
      <c r="A54" s="35">
        <v>1</v>
      </c>
      <c r="B54" s="35" t="s">
        <v>81</v>
      </c>
      <c r="C54" s="76" t="s">
        <v>154</v>
      </c>
      <c r="D54" s="77" t="s">
        <v>42</v>
      </c>
      <c r="E54" s="51">
        <v>30</v>
      </c>
      <c r="F54" s="52">
        <v>650.34</v>
      </c>
      <c r="G54" s="61">
        <f t="shared" si="22"/>
        <v>19510.2</v>
      </c>
      <c r="H54" s="54">
        <f t="shared" si="17"/>
        <v>0</v>
      </c>
      <c r="I54" s="55">
        <f t="shared" si="9"/>
        <v>0</v>
      </c>
      <c r="J54" s="135"/>
      <c r="K54" s="134">
        <f t="shared" si="10"/>
        <v>0</v>
      </c>
      <c r="L54" s="57">
        <f t="shared" si="18"/>
        <v>30</v>
      </c>
      <c r="M54" s="61">
        <f t="shared" si="19"/>
        <v>19510.2</v>
      </c>
      <c r="N54" s="58">
        <f t="shared" si="20"/>
        <v>0</v>
      </c>
      <c r="O54" s="217"/>
      <c r="P54" s="235"/>
      <c r="Q54" s="236"/>
      <c r="R54" s="237"/>
      <c r="S54" s="1">
        <f t="shared" si="3"/>
        <v>0</v>
      </c>
      <c r="T54" s="1"/>
      <c r="U54" s="1"/>
      <c r="V54" s="1"/>
      <c r="W54" s="1"/>
      <c r="X54" s="1"/>
      <c r="Y54" s="1"/>
      <c r="Z54" s="1"/>
      <c r="AA54" s="1"/>
      <c r="AB54" s="1"/>
      <c r="AD54" s="1"/>
      <c r="AE54" s="1"/>
      <c r="AF54" s="1"/>
      <c r="AG54" s="1"/>
      <c r="AH54" s="1"/>
      <c r="AI54" s="1"/>
      <c r="AJ54" s="1"/>
      <c r="AK54" s="1"/>
    </row>
    <row r="55" spans="1:37" s="3" customFormat="1" ht="54" x14ac:dyDescent="0.25">
      <c r="A55" s="35">
        <v>1</v>
      </c>
      <c r="B55" s="35" t="s">
        <v>82</v>
      </c>
      <c r="C55" s="76" t="s">
        <v>155</v>
      </c>
      <c r="D55" s="77" t="s">
        <v>124</v>
      </c>
      <c r="E55" s="51">
        <v>50</v>
      </c>
      <c r="F55" s="52">
        <v>52.89</v>
      </c>
      <c r="G55" s="61">
        <f t="shared" si="22"/>
        <v>2644.5</v>
      </c>
      <c r="H55" s="54">
        <f t="shared" si="17"/>
        <v>0</v>
      </c>
      <c r="I55" s="55">
        <f t="shared" si="9"/>
        <v>0</v>
      </c>
      <c r="J55" s="135"/>
      <c r="K55" s="134">
        <f t="shared" si="10"/>
        <v>0</v>
      </c>
      <c r="L55" s="57">
        <f t="shared" si="18"/>
        <v>50</v>
      </c>
      <c r="M55" s="61">
        <f t="shared" si="19"/>
        <v>2644.5</v>
      </c>
      <c r="N55" s="58">
        <f t="shared" si="20"/>
        <v>0</v>
      </c>
      <c r="O55" s="217"/>
      <c r="P55" s="235"/>
      <c r="Q55" s="236"/>
      <c r="R55" s="237"/>
      <c r="S55" s="1">
        <f t="shared" si="3"/>
        <v>0</v>
      </c>
      <c r="T55" s="1"/>
      <c r="U55" s="1"/>
      <c r="V55" s="1"/>
      <c r="W55" s="1"/>
      <c r="X55" s="1"/>
      <c r="Y55" s="1"/>
      <c r="Z55" s="1"/>
      <c r="AA55" s="1"/>
      <c r="AB55" s="1"/>
      <c r="AD55" s="1"/>
      <c r="AE55" s="1"/>
      <c r="AF55" s="1"/>
      <c r="AG55" s="1"/>
      <c r="AH55" s="1"/>
      <c r="AI55" s="1"/>
      <c r="AJ55" s="1"/>
      <c r="AK55" s="1"/>
    </row>
    <row r="56" spans="1:37" s="3" customFormat="1" ht="39.950000000000003" customHeight="1" x14ac:dyDescent="0.25">
      <c r="A56" s="35">
        <v>1</v>
      </c>
      <c r="B56" s="35" t="s">
        <v>83</v>
      </c>
      <c r="C56" s="76" t="s">
        <v>156</v>
      </c>
      <c r="D56" s="77" t="s">
        <v>42</v>
      </c>
      <c r="E56" s="51">
        <v>100</v>
      </c>
      <c r="F56" s="52">
        <v>155.9</v>
      </c>
      <c r="G56" s="61">
        <f t="shared" si="22"/>
        <v>15590</v>
      </c>
      <c r="H56" s="54">
        <f t="shared" si="17"/>
        <v>0</v>
      </c>
      <c r="I56" s="55">
        <f t="shared" si="9"/>
        <v>0</v>
      </c>
      <c r="J56" s="135"/>
      <c r="K56" s="134">
        <f t="shared" si="10"/>
        <v>0</v>
      </c>
      <c r="L56" s="57">
        <f t="shared" si="18"/>
        <v>100</v>
      </c>
      <c r="M56" s="61">
        <f t="shared" si="19"/>
        <v>15590</v>
      </c>
      <c r="N56" s="58">
        <f t="shared" si="20"/>
        <v>0</v>
      </c>
      <c r="O56" s="217"/>
      <c r="P56" s="235"/>
      <c r="Q56" s="236"/>
      <c r="R56" s="237"/>
      <c r="S56" s="1">
        <f t="shared" si="3"/>
        <v>0</v>
      </c>
      <c r="T56" s="1"/>
      <c r="U56" s="1"/>
      <c r="V56" s="1"/>
      <c r="W56" s="1"/>
      <c r="X56" s="1"/>
      <c r="Y56" s="1"/>
      <c r="Z56" s="1"/>
      <c r="AA56" s="1"/>
      <c r="AB56" s="1"/>
      <c r="AD56" s="1"/>
      <c r="AE56" s="1"/>
      <c r="AF56" s="1"/>
      <c r="AG56" s="1"/>
      <c r="AH56" s="1"/>
      <c r="AI56" s="1"/>
      <c r="AJ56" s="1"/>
      <c r="AK56" s="1"/>
    </row>
    <row r="57" spans="1:37" s="3" customFormat="1" ht="39.950000000000003" customHeight="1" x14ac:dyDescent="0.25">
      <c r="A57" s="35">
        <v>1</v>
      </c>
      <c r="B57" s="35" t="s">
        <v>84</v>
      </c>
      <c r="C57" s="76" t="s">
        <v>157</v>
      </c>
      <c r="D57" s="77" t="s">
        <v>124</v>
      </c>
      <c r="E57" s="59">
        <f>540+233</f>
        <v>773</v>
      </c>
      <c r="F57" s="52">
        <v>50.7</v>
      </c>
      <c r="G57" s="61">
        <f t="shared" si="22"/>
        <v>39191.1</v>
      </c>
      <c r="H57" s="54">
        <f t="shared" si="17"/>
        <v>4.38</v>
      </c>
      <c r="I57" s="53">
        <f t="shared" si="9"/>
        <v>222.07</v>
      </c>
      <c r="J57" s="135"/>
      <c r="K57" s="136">
        <f t="shared" si="10"/>
        <v>0</v>
      </c>
      <c r="L57" s="57">
        <f t="shared" si="18"/>
        <v>768.62</v>
      </c>
      <c r="M57" s="61">
        <f t="shared" si="19"/>
        <v>38969.03</v>
      </c>
      <c r="N57" s="58">
        <f t="shared" si="20"/>
        <v>5.6699999999999997E-3</v>
      </c>
      <c r="O57" s="217"/>
      <c r="P57" s="235"/>
      <c r="Q57" s="236"/>
      <c r="R57" s="237"/>
      <c r="S57" s="1">
        <f t="shared" si="3"/>
        <v>4.38</v>
      </c>
      <c r="T57" s="1"/>
      <c r="U57" s="1"/>
      <c r="V57" s="1"/>
      <c r="W57" s="1"/>
      <c r="X57" s="1"/>
      <c r="Y57" s="1"/>
      <c r="Z57" s="1"/>
      <c r="AA57" s="1"/>
      <c r="AB57" s="1"/>
      <c r="AD57" s="1">
        <v>4.38</v>
      </c>
      <c r="AE57" s="1"/>
      <c r="AF57" s="1"/>
      <c r="AG57" s="1"/>
      <c r="AH57" s="1"/>
      <c r="AI57" s="1"/>
      <c r="AJ57" s="1"/>
      <c r="AK57" s="1"/>
    </row>
    <row r="58" spans="1:37" s="3" customFormat="1" ht="39.950000000000003" customHeight="1" x14ac:dyDescent="0.25">
      <c r="A58" s="35">
        <v>1</v>
      </c>
      <c r="B58" s="35" t="s">
        <v>85</v>
      </c>
      <c r="C58" s="76" t="s">
        <v>45</v>
      </c>
      <c r="D58" s="77" t="s">
        <v>124</v>
      </c>
      <c r="E58" s="59">
        <v>465</v>
      </c>
      <c r="F58" s="52">
        <v>13.35</v>
      </c>
      <c r="G58" s="61">
        <f t="shared" si="22"/>
        <v>6207.75</v>
      </c>
      <c r="H58" s="54">
        <f t="shared" si="17"/>
        <v>4.38</v>
      </c>
      <c r="I58" s="53">
        <f t="shared" si="9"/>
        <v>58.47</v>
      </c>
      <c r="J58" s="135"/>
      <c r="K58" s="136">
        <f t="shared" si="10"/>
        <v>0</v>
      </c>
      <c r="L58" s="57">
        <f t="shared" si="18"/>
        <v>460.62</v>
      </c>
      <c r="M58" s="61">
        <f t="shared" si="19"/>
        <v>6149.28</v>
      </c>
      <c r="N58" s="58">
        <f t="shared" si="20"/>
        <v>9.4199999999999996E-3</v>
      </c>
      <c r="O58" s="217"/>
      <c r="P58" s="235"/>
      <c r="Q58" s="236"/>
      <c r="R58" s="237"/>
      <c r="S58" s="1">
        <f t="shared" si="3"/>
        <v>4.38</v>
      </c>
      <c r="T58" s="1"/>
      <c r="U58" s="1"/>
      <c r="V58" s="1"/>
      <c r="W58" s="1"/>
      <c r="X58" s="1"/>
      <c r="Y58" s="1"/>
      <c r="Z58" s="1"/>
      <c r="AA58" s="1"/>
      <c r="AB58" s="1"/>
      <c r="AD58" s="1">
        <v>4.38</v>
      </c>
      <c r="AE58" s="1"/>
      <c r="AF58" s="1"/>
      <c r="AG58" s="1"/>
      <c r="AH58" s="1"/>
      <c r="AI58" s="1"/>
      <c r="AJ58" s="1"/>
      <c r="AK58" s="1"/>
    </row>
    <row r="59" spans="1:37" s="3" customFormat="1" ht="39.950000000000003" customHeight="1" x14ac:dyDescent="0.25">
      <c r="A59" s="35">
        <v>1</v>
      </c>
      <c r="B59" s="35" t="s">
        <v>86</v>
      </c>
      <c r="C59" s="49" t="s">
        <v>158</v>
      </c>
      <c r="D59" s="50" t="s">
        <v>135</v>
      </c>
      <c r="E59" s="51">
        <v>175</v>
      </c>
      <c r="F59" s="52">
        <v>606.86</v>
      </c>
      <c r="G59" s="61">
        <f t="shared" si="22"/>
        <v>106200.5</v>
      </c>
      <c r="H59" s="54">
        <f t="shared" si="17"/>
        <v>0</v>
      </c>
      <c r="I59" s="55">
        <f t="shared" si="9"/>
        <v>0</v>
      </c>
      <c r="J59" s="135"/>
      <c r="K59" s="134">
        <f t="shared" si="10"/>
        <v>0</v>
      </c>
      <c r="L59" s="57">
        <f t="shared" si="18"/>
        <v>175</v>
      </c>
      <c r="M59" s="61">
        <f t="shared" si="19"/>
        <v>106200.5</v>
      </c>
      <c r="N59" s="58">
        <f t="shared" si="20"/>
        <v>0</v>
      </c>
      <c r="O59" s="217"/>
      <c r="P59" s="235"/>
      <c r="Q59" s="236"/>
      <c r="R59" s="237"/>
      <c r="S59" s="1">
        <f t="shared" si="3"/>
        <v>0</v>
      </c>
      <c r="T59" s="1"/>
      <c r="U59" s="1"/>
      <c r="V59" s="1"/>
      <c r="W59" s="1"/>
      <c r="X59" s="1"/>
      <c r="Y59" s="1"/>
      <c r="Z59" s="1"/>
      <c r="AA59" s="1"/>
      <c r="AB59" s="1"/>
      <c r="AD59" s="1"/>
      <c r="AE59" s="1"/>
      <c r="AF59" s="1"/>
      <c r="AG59" s="1"/>
      <c r="AH59" s="1"/>
      <c r="AI59" s="1"/>
      <c r="AJ59" s="1"/>
      <c r="AK59" s="1"/>
    </row>
    <row r="60" spans="1:37" s="3" customFormat="1" ht="39.950000000000003" customHeight="1" x14ac:dyDescent="0.25">
      <c r="A60" s="35">
        <v>1</v>
      </c>
      <c r="B60" s="35" t="s">
        <v>87</v>
      </c>
      <c r="C60" s="49" t="s">
        <v>159</v>
      </c>
      <c r="D60" s="50" t="s">
        <v>124</v>
      </c>
      <c r="E60" s="51">
        <v>200</v>
      </c>
      <c r="F60" s="52">
        <v>59.91</v>
      </c>
      <c r="G60" s="61">
        <f t="shared" si="22"/>
        <v>11982</v>
      </c>
      <c r="H60" s="54">
        <f t="shared" si="17"/>
        <v>21.62</v>
      </c>
      <c r="I60" s="53">
        <f t="shared" si="9"/>
        <v>1295.25</v>
      </c>
      <c r="J60" s="135"/>
      <c r="K60" s="136">
        <f t="shared" si="10"/>
        <v>0</v>
      </c>
      <c r="L60" s="57">
        <f t="shared" si="18"/>
        <v>178.38</v>
      </c>
      <c r="M60" s="61">
        <f t="shared" si="19"/>
        <v>10686.75</v>
      </c>
      <c r="N60" s="58">
        <f t="shared" si="20"/>
        <v>0.1081</v>
      </c>
      <c r="O60" s="217"/>
      <c r="P60" s="235"/>
      <c r="Q60" s="236"/>
      <c r="R60" s="237"/>
      <c r="S60" s="1">
        <f t="shared" si="3"/>
        <v>21.62</v>
      </c>
      <c r="T60" s="1"/>
      <c r="U60" s="1"/>
      <c r="V60" s="1"/>
      <c r="W60" s="1"/>
      <c r="X60" s="1"/>
      <c r="Y60" s="1"/>
      <c r="Z60" s="1"/>
      <c r="AA60" s="1"/>
      <c r="AB60" s="1"/>
      <c r="AD60" s="1">
        <v>21.62</v>
      </c>
      <c r="AE60" s="1"/>
      <c r="AF60" s="1"/>
      <c r="AG60" s="1"/>
      <c r="AH60" s="1"/>
      <c r="AI60" s="1"/>
      <c r="AJ60" s="1"/>
      <c r="AK60" s="1"/>
    </row>
    <row r="61" spans="1:37" s="3" customFormat="1" ht="39.950000000000003" customHeight="1" x14ac:dyDescent="0.25">
      <c r="A61" s="35">
        <v>1</v>
      </c>
      <c r="B61" s="35" t="s">
        <v>88</v>
      </c>
      <c r="C61" s="49" t="s">
        <v>160</v>
      </c>
      <c r="D61" s="50" t="s">
        <v>135</v>
      </c>
      <c r="E61" s="51">
        <v>59</v>
      </c>
      <c r="F61" s="52">
        <v>325.2</v>
      </c>
      <c r="G61" s="61">
        <f t="shared" si="22"/>
        <v>19186.8</v>
      </c>
      <c r="H61" s="54">
        <f t="shared" si="17"/>
        <v>24.55</v>
      </c>
      <c r="I61" s="53">
        <f t="shared" si="9"/>
        <v>7983.66</v>
      </c>
      <c r="J61" s="135"/>
      <c r="K61" s="136">
        <f t="shared" si="10"/>
        <v>0</v>
      </c>
      <c r="L61" s="57">
        <f t="shared" si="18"/>
        <v>34.450000000000003</v>
      </c>
      <c r="M61" s="61">
        <f t="shared" si="19"/>
        <v>11203.14</v>
      </c>
      <c r="N61" s="58">
        <f t="shared" si="20"/>
        <v>0.41610000000000003</v>
      </c>
      <c r="O61" s="217"/>
      <c r="P61" s="235"/>
      <c r="Q61" s="236"/>
      <c r="R61" s="237"/>
      <c r="S61" s="1">
        <f t="shared" si="3"/>
        <v>24.55</v>
      </c>
      <c r="T61" s="1"/>
      <c r="U61" s="1"/>
      <c r="V61" s="1"/>
      <c r="W61" s="1"/>
      <c r="X61" s="1"/>
      <c r="Y61" s="1"/>
      <c r="Z61" s="1"/>
      <c r="AA61" s="1"/>
      <c r="AB61" s="1">
        <v>10.53</v>
      </c>
      <c r="AD61" s="1">
        <v>14.02</v>
      </c>
      <c r="AE61" s="1"/>
      <c r="AF61" s="1"/>
      <c r="AG61" s="1"/>
      <c r="AH61" s="1"/>
      <c r="AI61" s="1"/>
      <c r="AJ61" s="1"/>
      <c r="AK61" s="1"/>
    </row>
    <row r="62" spans="1:37" s="3" customFormat="1" ht="39.950000000000003" customHeight="1" x14ac:dyDescent="0.25">
      <c r="A62" s="35">
        <v>1</v>
      </c>
      <c r="B62" s="35" t="s">
        <v>89</v>
      </c>
      <c r="C62" s="49" t="s">
        <v>161</v>
      </c>
      <c r="D62" s="50" t="s">
        <v>46</v>
      </c>
      <c r="E62" s="51">
        <v>3900</v>
      </c>
      <c r="F62" s="52">
        <v>6.78</v>
      </c>
      <c r="G62" s="61">
        <f t="shared" si="22"/>
        <v>26442</v>
      </c>
      <c r="H62" s="54">
        <f t="shared" si="17"/>
        <v>0</v>
      </c>
      <c r="I62" s="55">
        <f t="shared" si="9"/>
        <v>0</v>
      </c>
      <c r="J62" s="135"/>
      <c r="K62" s="134">
        <f t="shared" si="10"/>
        <v>0</v>
      </c>
      <c r="L62" s="57">
        <f t="shared" si="18"/>
        <v>3900</v>
      </c>
      <c r="M62" s="61">
        <f t="shared" si="19"/>
        <v>26442</v>
      </c>
      <c r="N62" s="58">
        <f t="shared" si="20"/>
        <v>0</v>
      </c>
      <c r="O62" s="217"/>
      <c r="P62" s="235"/>
      <c r="Q62" s="236"/>
      <c r="R62" s="237"/>
      <c r="S62" s="1">
        <f t="shared" si="3"/>
        <v>0</v>
      </c>
      <c r="T62" s="1"/>
      <c r="U62" s="1"/>
      <c r="V62" s="1"/>
      <c r="W62" s="1"/>
      <c r="X62" s="1"/>
      <c r="Y62" s="1"/>
      <c r="Z62" s="1"/>
      <c r="AA62" s="1"/>
      <c r="AB62" s="1"/>
      <c r="AD62" s="1"/>
      <c r="AE62" s="1"/>
      <c r="AF62" s="1"/>
      <c r="AG62" s="1"/>
      <c r="AH62" s="1"/>
      <c r="AI62" s="1"/>
      <c r="AJ62" s="1"/>
      <c r="AK62" s="1"/>
    </row>
    <row r="63" spans="1:37" s="3" customFormat="1" ht="39.950000000000003" customHeight="1" x14ac:dyDescent="0.25">
      <c r="A63" s="35">
        <v>1</v>
      </c>
      <c r="B63" s="35" t="s">
        <v>90</v>
      </c>
      <c r="C63" s="49" t="s">
        <v>162</v>
      </c>
      <c r="D63" s="50" t="s">
        <v>46</v>
      </c>
      <c r="E63" s="51">
        <v>2000</v>
      </c>
      <c r="F63" s="52">
        <v>6.68</v>
      </c>
      <c r="G63" s="61">
        <f t="shared" si="22"/>
        <v>13360</v>
      </c>
      <c r="H63" s="54">
        <f t="shared" si="17"/>
        <v>0</v>
      </c>
      <c r="I63" s="55">
        <f t="shared" si="9"/>
        <v>0</v>
      </c>
      <c r="J63" s="135"/>
      <c r="K63" s="134">
        <f t="shared" si="10"/>
        <v>0</v>
      </c>
      <c r="L63" s="57">
        <f t="shared" si="18"/>
        <v>2000</v>
      </c>
      <c r="M63" s="61">
        <f t="shared" si="19"/>
        <v>13360</v>
      </c>
      <c r="N63" s="58">
        <f t="shared" si="20"/>
        <v>0</v>
      </c>
      <c r="O63" s="217"/>
      <c r="P63" s="235"/>
      <c r="Q63" s="236"/>
      <c r="R63" s="237"/>
      <c r="S63" s="1">
        <f t="shared" si="3"/>
        <v>0</v>
      </c>
      <c r="T63" s="1"/>
      <c r="U63" s="1"/>
      <c r="V63" s="1"/>
      <c r="W63" s="1"/>
      <c r="X63" s="1"/>
      <c r="Y63" s="1"/>
      <c r="Z63" s="1"/>
      <c r="AA63" s="1"/>
      <c r="AB63" s="1"/>
      <c r="AD63" s="1"/>
      <c r="AE63" s="1"/>
      <c r="AF63" s="1"/>
      <c r="AG63" s="1"/>
      <c r="AH63" s="1"/>
      <c r="AI63" s="1"/>
      <c r="AJ63" s="1"/>
      <c r="AK63" s="1"/>
    </row>
    <row r="64" spans="1:37" s="3" customFormat="1" ht="39.950000000000003" customHeight="1" x14ac:dyDescent="0.25">
      <c r="A64" s="35">
        <v>1</v>
      </c>
      <c r="B64" s="83" t="s">
        <v>91</v>
      </c>
      <c r="C64" s="80" t="s">
        <v>163</v>
      </c>
      <c r="D64" s="71" t="s">
        <v>42</v>
      </c>
      <c r="E64" s="51">
        <v>100</v>
      </c>
      <c r="F64" s="73">
        <v>618.92999999999995</v>
      </c>
      <c r="G64" s="53">
        <f t="shared" si="22"/>
        <v>61893</v>
      </c>
      <c r="H64" s="54">
        <f t="shared" si="17"/>
        <v>0</v>
      </c>
      <c r="I64" s="53">
        <f t="shared" si="9"/>
        <v>0</v>
      </c>
      <c r="J64" s="135"/>
      <c r="K64" s="136">
        <f t="shared" si="10"/>
        <v>0</v>
      </c>
      <c r="L64" s="57">
        <f t="shared" si="18"/>
        <v>100</v>
      </c>
      <c r="M64" s="53">
        <f t="shared" si="19"/>
        <v>61893</v>
      </c>
      <c r="N64" s="58">
        <f t="shared" si="20"/>
        <v>0</v>
      </c>
      <c r="O64" s="217"/>
      <c r="P64" s="235"/>
      <c r="Q64" s="236"/>
      <c r="R64" s="237"/>
      <c r="S64" s="1">
        <f t="shared" si="3"/>
        <v>0</v>
      </c>
      <c r="T64" s="1"/>
      <c r="U64" s="1"/>
      <c r="V64" s="1"/>
      <c r="W64" s="1"/>
      <c r="X64" s="1"/>
      <c r="Y64" s="1"/>
      <c r="Z64" s="1"/>
      <c r="AA64" s="1"/>
      <c r="AB64" s="1"/>
      <c r="AD64" s="1"/>
      <c r="AE64" s="1"/>
      <c r="AF64" s="1"/>
      <c r="AG64" s="1"/>
      <c r="AH64" s="1"/>
      <c r="AI64" s="1"/>
      <c r="AJ64" s="1"/>
      <c r="AK64" s="1"/>
    </row>
    <row r="65" spans="1:37" s="3" customFormat="1" ht="39.950000000000003" customHeight="1" x14ac:dyDescent="0.25">
      <c r="A65" s="35">
        <v>1</v>
      </c>
      <c r="B65" s="35" t="s">
        <v>92</v>
      </c>
      <c r="C65" s="76" t="s">
        <v>164</v>
      </c>
      <c r="D65" s="77" t="s">
        <v>124</v>
      </c>
      <c r="E65" s="51">
        <v>300</v>
      </c>
      <c r="F65" s="52">
        <v>51.18</v>
      </c>
      <c r="G65" s="61">
        <f t="shared" si="22"/>
        <v>15354</v>
      </c>
      <c r="H65" s="54">
        <f t="shared" si="17"/>
        <v>0</v>
      </c>
      <c r="I65" s="55">
        <f t="shared" si="9"/>
        <v>0</v>
      </c>
      <c r="J65" s="135"/>
      <c r="K65" s="134">
        <f t="shared" si="10"/>
        <v>0</v>
      </c>
      <c r="L65" s="57">
        <f t="shared" si="18"/>
        <v>300</v>
      </c>
      <c r="M65" s="61">
        <f t="shared" si="19"/>
        <v>15354</v>
      </c>
      <c r="N65" s="58">
        <f t="shared" si="20"/>
        <v>0</v>
      </c>
      <c r="O65" s="217"/>
      <c r="P65" s="235"/>
      <c r="Q65" s="236"/>
      <c r="R65" s="237"/>
      <c r="S65" s="1">
        <f t="shared" si="3"/>
        <v>0</v>
      </c>
      <c r="T65" s="1"/>
      <c r="U65" s="1"/>
      <c r="V65" s="1"/>
      <c r="W65" s="1"/>
      <c r="X65" s="1"/>
      <c r="Y65" s="1"/>
      <c r="Z65" s="1"/>
      <c r="AA65" s="1"/>
      <c r="AB65" s="1"/>
      <c r="AD65" s="1"/>
      <c r="AE65" s="1"/>
      <c r="AF65" s="1"/>
      <c r="AG65" s="1"/>
      <c r="AH65" s="1"/>
      <c r="AI65" s="1"/>
      <c r="AJ65" s="1"/>
      <c r="AK65" s="1"/>
    </row>
    <row r="66" spans="1:37" s="3" customFormat="1" ht="39.950000000000003" customHeight="1" x14ac:dyDescent="0.25">
      <c r="A66" s="309" t="s">
        <v>494</v>
      </c>
      <c r="B66" s="310"/>
      <c r="C66" s="310"/>
      <c r="D66" s="310"/>
      <c r="E66" s="310"/>
      <c r="F66" s="311"/>
      <c r="G66" s="62">
        <f>SUM(G35:G65)</f>
        <v>2873775.27</v>
      </c>
      <c r="H66" s="63"/>
      <c r="I66" s="62">
        <f>SUM(I35:I65)</f>
        <v>1558701.7</v>
      </c>
      <c r="J66" s="74"/>
      <c r="K66" s="62">
        <f>SUM(K35:K65)</f>
        <v>2691.41</v>
      </c>
      <c r="L66" s="65"/>
      <c r="M66" s="62">
        <f>SUM(M35:M65)</f>
        <v>1315073.57</v>
      </c>
      <c r="N66" s="75">
        <f t="shared" si="20"/>
        <v>0.54239999999999999</v>
      </c>
      <c r="O66" s="217"/>
      <c r="P66" s="235"/>
      <c r="Q66" s="236"/>
      <c r="R66" s="237"/>
      <c r="S66" s="1">
        <f t="shared" si="3"/>
        <v>0</v>
      </c>
      <c r="T66" s="1"/>
      <c r="U66" s="1"/>
      <c r="V66" s="1"/>
      <c r="W66" s="1"/>
      <c r="X66" s="1"/>
      <c r="Y66" s="1"/>
      <c r="Z66" s="1"/>
      <c r="AA66" s="1"/>
      <c r="AB66" s="1"/>
      <c r="AD66" s="1"/>
      <c r="AE66" s="1"/>
      <c r="AF66" s="1"/>
      <c r="AG66" s="1"/>
      <c r="AH66" s="1"/>
      <c r="AI66" s="1"/>
      <c r="AJ66" s="1"/>
      <c r="AK66" s="1"/>
    </row>
    <row r="67" spans="1:37" s="3" customFormat="1" ht="39.950000000000003" customHeight="1" x14ac:dyDescent="0.25">
      <c r="A67" s="47">
        <v>1</v>
      </c>
      <c r="B67" s="47" t="s">
        <v>35</v>
      </c>
      <c r="C67" s="291" t="s">
        <v>165</v>
      </c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3"/>
      <c r="O67" s="217"/>
      <c r="P67" s="235"/>
      <c r="Q67" s="236"/>
      <c r="R67" s="237"/>
      <c r="S67" s="1">
        <f t="shared" si="3"/>
        <v>0</v>
      </c>
      <c r="T67" s="1"/>
      <c r="U67" s="1"/>
      <c r="V67" s="1"/>
      <c r="W67" s="1"/>
      <c r="X67" s="1"/>
      <c r="Y67" s="1"/>
      <c r="Z67" s="1"/>
      <c r="AA67" s="1"/>
      <c r="AB67" s="1"/>
      <c r="AD67" s="1"/>
      <c r="AE67" s="1"/>
      <c r="AF67" s="1"/>
      <c r="AG67" s="1"/>
      <c r="AH67" s="1"/>
      <c r="AI67" s="1"/>
      <c r="AJ67" s="1"/>
      <c r="AK67" s="1"/>
    </row>
    <row r="68" spans="1:37" s="3" customFormat="1" ht="39" customHeight="1" x14ac:dyDescent="0.25">
      <c r="A68" s="82">
        <v>1</v>
      </c>
      <c r="B68" s="82" t="s">
        <v>36</v>
      </c>
      <c r="C68" s="80" t="s">
        <v>71</v>
      </c>
      <c r="D68" s="71" t="s">
        <v>135</v>
      </c>
      <c r="E68" s="51">
        <v>932</v>
      </c>
      <c r="F68" s="73">
        <v>36.93</v>
      </c>
      <c r="G68" s="61">
        <f>E68*F68</f>
        <v>34418.76</v>
      </c>
      <c r="H68" s="54">
        <f t="shared" ref="H68:H107" si="23">S68+J68</f>
        <v>0</v>
      </c>
      <c r="I68" s="53">
        <f t="shared" si="9"/>
        <v>0</v>
      </c>
      <c r="J68" s="135"/>
      <c r="K68" s="136">
        <f t="shared" si="10"/>
        <v>0</v>
      </c>
      <c r="L68" s="57">
        <f t="shared" ref="L68:L107" si="24">E68-H68</f>
        <v>932</v>
      </c>
      <c r="M68" s="61">
        <f t="shared" ref="M68:M107" si="25">L68*F68</f>
        <v>34418.76</v>
      </c>
      <c r="N68" s="58">
        <f t="shared" ref="N68:N108" si="26">IF(G68=0,"",I68/G68)</f>
        <v>0</v>
      </c>
      <c r="O68" s="217"/>
      <c r="P68" s="235"/>
      <c r="Q68" s="236"/>
      <c r="R68" s="237"/>
      <c r="S68" s="1">
        <f t="shared" si="3"/>
        <v>0</v>
      </c>
      <c r="T68" s="1"/>
      <c r="U68" s="1"/>
      <c r="V68" s="1"/>
      <c r="W68" s="1"/>
      <c r="X68" s="1"/>
      <c r="Y68" s="1"/>
      <c r="Z68" s="1"/>
      <c r="AA68" s="1"/>
      <c r="AB68" s="1"/>
      <c r="AD68" s="1"/>
      <c r="AE68" s="1"/>
      <c r="AF68" s="1"/>
      <c r="AG68" s="1"/>
      <c r="AH68" s="1"/>
      <c r="AI68" s="1"/>
      <c r="AJ68" s="1"/>
      <c r="AK68" s="1"/>
    </row>
    <row r="69" spans="1:37" s="3" customFormat="1" ht="39.950000000000003" customHeight="1" x14ac:dyDescent="0.25">
      <c r="A69" s="82">
        <v>1</v>
      </c>
      <c r="B69" s="82" t="s">
        <v>37</v>
      </c>
      <c r="C69" s="80" t="s">
        <v>166</v>
      </c>
      <c r="D69" s="71" t="s">
        <v>135</v>
      </c>
      <c r="E69" s="51">
        <v>932</v>
      </c>
      <c r="F69" s="73">
        <v>6.16</v>
      </c>
      <c r="G69" s="53">
        <f t="shared" ref="G69:G85" si="27">E69*F69</f>
        <v>5741.12</v>
      </c>
      <c r="H69" s="54">
        <f t="shared" si="23"/>
        <v>0</v>
      </c>
      <c r="I69" s="53">
        <f t="shared" si="9"/>
        <v>0</v>
      </c>
      <c r="J69" s="135"/>
      <c r="K69" s="136">
        <f t="shared" si="10"/>
        <v>0</v>
      </c>
      <c r="L69" s="57">
        <f t="shared" si="24"/>
        <v>932</v>
      </c>
      <c r="M69" s="53">
        <f t="shared" si="25"/>
        <v>5741.12</v>
      </c>
      <c r="N69" s="58">
        <f t="shared" si="26"/>
        <v>0</v>
      </c>
      <c r="O69" s="217"/>
      <c r="P69" s="235"/>
      <c r="Q69" s="236"/>
      <c r="R69" s="237"/>
      <c r="S69" s="1">
        <f t="shared" si="3"/>
        <v>0</v>
      </c>
      <c r="T69" s="1"/>
      <c r="U69" s="1"/>
      <c r="V69" s="1"/>
      <c r="W69" s="1"/>
      <c r="X69" s="1"/>
      <c r="Y69" s="1"/>
      <c r="Z69" s="1"/>
      <c r="AA69" s="1"/>
      <c r="AB69" s="1"/>
      <c r="AD69" s="1"/>
      <c r="AE69" s="1"/>
      <c r="AF69" s="1"/>
      <c r="AG69" s="1"/>
      <c r="AH69" s="1"/>
      <c r="AI69" s="1"/>
      <c r="AJ69" s="1"/>
      <c r="AK69" s="1"/>
    </row>
    <row r="70" spans="1:37" s="3" customFormat="1" ht="39.950000000000003" customHeight="1" x14ac:dyDescent="0.25">
      <c r="A70" s="205">
        <v>1</v>
      </c>
      <c r="B70" s="205" t="s">
        <v>57</v>
      </c>
      <c r="C70" s="60" t="s">
        <v>140</v>
      </c>
      <c r="D70" s="50" t="s">
        <v>135</v>
      </c>
      <c r="E70" s="59">
        <v>15299.26</v>
      </c>
      <c r="F70" s="52">
        <v>3.75</v>
      </c>
      <c r="G70" s="206">
        <f t="shared" si="27"/>
        <v>57372.23</v>
      </c>
      <c r="H70" s="54">
        <f t="shared" si="23"/>
        <v>4447.08</v>
      </c>
      <c r="I70" s="206">
        <f t="shared" si="9"/>
        <v>16676.55</v>
      </c>
      <c r="J70" s="262"/>
      <c r="K70" s="136">
        <f t="shared" si="10"/>
        <v>0</v>
      </c>
      <c r="L70" s="208">
        <f t="shared" si="24"/>
        <v>10852.18</v>
      </c>
      <c r="M70" s="206">
        <f t="shared" si="25"/>
        <v>40695.68</v>
      </c>
      <c r="N70" s="209">
        <f t="shared" si="26"/>
        <v>0.29070000000000001</v>
      </c>
      <c r="O70" s="217"/>
      <c r="P70" s="235"/>
      <c r="Q70" s="236"/>
      <c r="R70" s="237"/>
      <c r="S70" s="1">
        <f t="shared" si="3"/>
        <v>4447.08</v>
      </c>
      <c r="T70" s="1"/>
      <c r="U70" s="1"/>
      <c r="V70" s="1">
        <v>521.5</v>
      </c>
      <c r="W70" s="1">
        <v>848</v>
      </c>
      <c r="X70" s="1"/>
      <c r="Y70" s="1">
        <v>-1369.5</v>
      </c>
      <c r="Z70" s="1">
        <v>1170.5</v>
      </c>
      <c r="AA70" s="1">
        <v>338.37</v>
      </c>
      <c r="AB70" s="1">
        <v>1206.08</v>
      </c>
      <c r="AC70" s="3">
        <v>942.26</v>
      </c>
      <c r="AD70" s="1">
        <v>419.71</v>
      </c>
      <c r="AE70" s="1">
        <v>370.16</v>
      </c>
      <c r="AF70" s="1"/>
      <c r="AG70" s="1"/>
      <c r="AH70" s="1"/>
      <c r="AI70" s="1"/>
      <c r="AJ70" s="1"/>
      <c r="AK70" s="1"/>
    </row>
    <row r="71" spans="1:37" s="3" customFormat="1" ht="39.950000000000003" customHeight="1" x14ac:dyDescent="0.25">
      <c r="A71" s="205">
        <v>1</v>
      </c>
      <c r="B71" s="205" t="s">
        <v>58</v>
      </c>
      <c r="C71" s="60" t="s">
        <v>142</v>
      </c>
      <c r="D71" s="98" t="s">
        <v>143</v>
      </c>
      <c r="E71" s="59">
        <v>17362</v>
      </c>
      <c r="F71" s="52">
        <v>2.9</v>
      </c>
      <c r="G71" s="206">
        <f t="shared" si="27"/>
        <v>50349.8</v>
      </c>
      <c r="H71" s="54">
        <f t="shared" si="23"/>
        <v>4447.08</v>
      </c>
      <c r="I71" s="206">
        <f t="shared" si="9"/>
        <v>12896.53</v>
      </c>
      <c r="J71" s="262"/>
      <c r="K71" s="136">
        <f t="shared" si="10"/>
        <v>0</v>
      </c>
      <c r="L71" s="208">
        <f t="shared" si="24"/>
        <v>12914.92</v>
      </c>
      <c r="M71" s="206">
        <f t="shared" si="25"/>
        <v>37453.269999999997</v>
      </c>
      <c r="N71" s="209">
        <f t="shared" si="26"/>
        <v>0.25609999999999999</v>
      </c>
      <c r="O71" s="217"/>
      <c r="P71" s="235"/>
      <c r="Q71" s="236"/>
      <c r="R71" s="237"/>
      <c r="S71" s="1">
        <f t="shared" si="3"/>
        <v>4447.08</v>
      </c>
      <c r="T71" s="1"/>
      <c r="U71" s="1"/>
      <c r="V71" s="1">
        <v>516</v>
      </c>
      <c r="W71" s="1">
        <v>848</v>
      </c>
      <c r="X71" s="1"/>
      <c r="Y71" s="1">
        <v>-1364</v>
      </c>
      <c r="Z71" s="1">
        <v>1170.5</v>
      </c>
      <c r="AA71" s="1">
        <v>338.37</v>
      </c>
      <c r="AB71" s="1">
        <v>1206.08</v>
      </c>
      <c r="AC71" s="3">
        <v>942.26</v>
      </c>
      <c r="AD71" s="1">
        <v>419.71</v>
      </c>
      <c r="AE71" s="1">
        <v>370.16</v>
      </c>
      <c r="AF71" s="1"/>
      <c r="AG71" s="1"/>
      <c r="AH71" s="1"/>
      <c r="AI71" s="1"/>
      <c r="AJ71" s="1"/>
      <c r="AK71" s="1"/>
    </row>
    <row r="72" spans="1:37" s="3" customFormat="1" ht="39.950000000000003" customHeight="1" x14ac:dyDescent="0.25">
      <c r="A72" s="82">
        <v>1</v>
      </c>
      <c r="B72" s="82" t="s">
        <v>59</v>
      </c>
      <c r="C72" s="80" t="s">
        <v>167</v>
      </c>
      <c r="D72" s="81" t="s">
        <v>143</v>
      </c>
      <c r="E72" s="51">
        <v>14468.33</v>
      </c>
      <c r="F72" s="73">
        <v>0.98</v>
      </c>
      <c r="G72" s="53">
        <f t="shared" si="27"/>
        <v>14178.96</v>
      </c>
      <c r="H72" s="54">
        <f t="shared" si="23"/>
        <v>0</v>
      </c>
      <c r="I72" s="53">
        <f t="shared" si="9"/>
        <v>0</v>
      </c>
      <c r="J72" s="137"/>
      <c r="K72" s="138">
        <f t="shared" si="10"/>
        <v>0</v>
      </c>
      <c r="L72" s="57">
        <f t="shared" si="24"/>
        <v>14468.33</v>
      </c>
      <c r="M72" s="53">
        <f t="shared" si="25"/>
        <v>14178.96</v>
      </c>
      <c r="N72" s="58">
        <f t="shared" si="26"/>
        <v>0</v>
      </c>
      <c r="O72" s="217"/>
      <c r="P72" s="235"/>
      <c r="Q72" s="236"/>
      <c r="R72" s="237"/>
      <c r="S72" s="1">
        <f t="shared" si="3"/>
        <v>0</v>
      </c>
      <c r="T72" s="1"/>
      <c r="U72" s="1"/>
      <c r="V72" s="1"/>
      <c r="W72" s="1"/>
      <c r="X72" s="1">
        <v>14468.33</v>
      </c>
      <c r="Y72" s="1">
        <v>-14468.33</v>
      </c>
      <c r="Z72" s="1"/>
      <c r="AA72" s="1"/>
      <c r="AB72" s="1"/>
      <c r="AD72" s="1"/>
      <c r="AE72" s="1"/>
      <c r="AF72" s="1"/>
      <c r="AG72" s="1"/>
      <c r="AH72" s="1"/>
      <c r="AI72" s="1"/>
      <c r="AJ72" s="1"/>
      <c r="AK72" s="1"/>
    </row>
    <row r="73" spans="1:37" s="3" customFormat="1" ht="39.950000000000003" customHeight="1" x14ac:dyDescent="0.25">
      <c r="A73" s="82">
        <v>1</v>
      </c>
      <c r="B73" s="82" t="s">
        <v>60</v>
      </c>
      <c r="C73" s="80" t="s">
        <v>168</v>
      </c>
      <c r="D73" s="81" t="s">
        <v>143</v>
      </c>
      <c r="E73" s="51">
        <v>19291.2</v>
      </c>
      <c r="F73" s="73">
        <v>0.77</v>
      </c>
      <c r="G73" s="53">
        <f t="shared" si="27"/>
        <v>14854.22</v>
      </c>
      <c r="H73" s="54">
        <f t="shared" si="23"/>
        <v>0</v>
      </c>
      <c r="I73" s="53">
        <f t="shared" si="9"/>
        <v>0</v>
      </c>
      <c r="J73" s="135"/>
      <c r="K73" s="136">
        <f t="shared" si="10"/>
        <v>0</v>
      </c>
      <c r="L73" s="57">
        <f t="shared" si="24"/>
        <v>19291.2</v>
      </c>
      <c r="M73" s="53">
        <f t="shared" si="25"/>
        <v>14854.22</v>
      </c>
      <c r="N73" s="58">
        <f t="shared" si="26"/>
        <v>0</v>
      </c>
      <c r="O73" s="217"/>
      <c r="P73" s="235"/>
      <c r="Q73" s="236"/>
      <c r="R73" s="237"/>
      <c r="S73" s="1">
        <f t="shared" si="3"/>
        <v>0</v>
      </c>
      <c r="T73" s="1"/>
      <c r="U73" s="1"/>
      <c r="V73" s="1"/>
      <c r="W73" s="1"/>
      <c r="X73" s="1"/>
      <c r="Y73" s="1"/>
      <c r="Z73" s="1"/>
      <c r="AA73" s="1"/>
      <c r="AB73" s="1"/>
      <c r="AD73" s="1"/>
      <c r="AE73" s="1"/>
      <c r="AF73" s="1"/>
      <c r="AG73" s="1"/>
      <c r="AH73" s="1"/>
      <c r="AI73" s="1"/>
      <c r="AJ73" s="1"/>
      <c r="AK73" s="1"/>
    </row>
    <row r="74" spans="1:37" s="3" customFormat="1" ht="39.75" customHeight="1" x14ac:dyDescent="0.25">
      <c r="A74" s="82">
        <v>1</v>
      </c>
      <c r="B74" s="82" t="s">
        <v>61</v>
      </c>
      <c r="C74" s="80" t="s">
        <v>68</v>
      </c>
      <c r="D74" s="71" t="s">
        <v>124</v>
      </c>
      <c r="E74" s="51">
        <v>50997.53</v>
      </c>
      <c r="F74" s="73">
        <v>9.18</v>
      </c>
      <c r="G74" s="53">
        <f t="shared" si="27"/>
        <v>468157.33</v>
      </c>
      <c r="H74" s="54">
        <f t="shared" si="23"/>
        <v>31546.54</v>
      </c>
      <c r="I74" s="53">
        <f t="shared" ref="I74:I135" si="28">H74*F74</f>
        <v>289597.24</v>
      </c>
      <c r="J74" s="262"/>
      <c r="K74" s="136">
        <f t="shared" ref="K74:K135" si="29">J74*F74</f>
        <v>0</v>
      </c>
      <c r="L74" s="57">
        <f t="shared" si="24"/>
        <v>19450.990000000002</v>
      </c>
      <c r="M74" s="53">
        <f t="shared" si="25"/>
        <v>178560.09</v>
      </c>
      <c r="N74" s="58">
        <f t="shared" si="26"/>
        <v>0.61858999999999997</v>
      </c>
      <c r="O74" s="217"/>
      <c r="P74" s="235"/>
      <c r="Q74" s="236"/>
      <c r="R74" s="237"/>
      <c r="S74" s="1">
        <f t="shared" si="3"/>
        <v>31546.54</v>
      </c>
      <c r="T74" s="1"/>
      <c r="U74" s="1"/>
      <c r="V74" s="1"/>
      <c r="W74" s="1"/>
      <c r="X74" s="1">
        <v>4452</v>
      </c>
      <c r="Y74" s="1">
        <v>-2723</v>
      </c>
      <c r="Z74" s="1">
        <v>2929.91</v>
      </c>
      <c r="AA74" s="1">
        <v>3972.23</v>
      </c>
      <c r="AB74" s="1">
        <v>9423.65</v>
      </c>
      <c r="AC74" s="3">
        <v>4080.32</v>
      </c>
      <c r="AD74" s="1">
        <v>4784.54</v>
      </c>
      <c r="AE74" s="1">
        <v>4626.8900000000003</v>
      </c>
      <c r="AF74" s="1"/>
      <c r="AG74" s="1"/>
      <c r="AH74" s="1"/>
      <c r="AI74" s="1"/>
      <c r="AJ74" s="1"/>
      <c r="AK74" s="1"/>
    </row>
    <row r="75" spans="1:37" s="3" customFormat="1" ht="39.75" customHeight="1" x14ac:dyDescent="0.25">
      <c r="A75" s="176">
        <v>1</v>
      </c>
      <c r="B75" s="176" t="s">
        <v>62</v>
      </c>
      <c r="C75" s="177" t="s">
        <v>169</v>
      </c>
      <c r="D75" s="168" t="s">
        <v>135</v>
      </c>
      <c r="E75" s="169">
        <v>7139.65</v>
      </c>
      <c r="F75" s="170">
        <v>37.21</v>
      </c>
      <c r="G75" s="171">
        <f t="shared" si="27"/>
        <v>265666.38</v>
      </c>
      <c r="H75" s="169">
        <f t="shared" si="23"/>
        <v>4277.3900000000003</v>
      </c>
      <c r="I75" s="171">
        <f t="shared" si="28"/>
        <v>159161.68</v>
      </c>
      <c r="J75" s="135"/>
      <c r="K75" s="136">
        <f t="shared" si="29"/>
        <v>0</v>
      </c>
      <c r="L75" s="173">
        <f t="shared" si="24"/>
        <v>2862.26</v>
      </c>
      <c r="M75" s="171">
        <f t="shared" si="25"/>
        <v>106504.69</v>
      </c>
      <c r="N75" s="174">
        <f t="shared" si="26"/>
        <v>0.59909999999999997</v>
      </c>
      <c r="O75" s="219"/>
      <c r="P75" s="246">
        <v>-345.8</v>
      </c>
      <c r="Q75" s="247">
        <f>P75*F75</f>
        <v>-12867.22</v>
      </c>
      <c r="R75" s="248"/>
      <c r="S75" s="1">
        <f t="shared" si="3"/>
        <v>4277.3900000000003</v>
      </c>
      <c r="T75" s="1"/>
      <c r="U75" s="1"/>
      <c r="V75" s="1"/>
      <c r="W75" s="1"/>
      <c r="X75" s="1">
        <v>890.4</v>
      </c>
      <c r="Y75" s="1">
        <v>-544.6</v>
      </c>
      <c r="Z75" s="1"/>
      <c r="AA75" s="1">
        <v>597.29999999999995</v>
      </c>
      <c r="AB75" s="1">
        <v>1352.76</v>
      </c>
      <c r="AC75" s="3">
        <v>320.14</v>
      </c>
      <c r="AD75" s="1">
        <v>736.01</v>
      </c>
      <c r="AE75" s="1">
        <v>925.38</v>
      </c>
      <c r="AF75" s="1"/>
      <c r="AG75" s="1"/>
      <c r="AH75" s="1"/>
      <c r="AI75" s="1"/>
      <c r="AJ75" s="1"/>
      <c r="AK75" s="1"/>
    </row>
    <row r="76" spans="1:37" s="3" customFormat="1" ht="39.950000000000003" customHeight="1" x14ac:dyDescent="0.25">
      <c r="A76" s="82">
        <v>1</v>
      </c>
      <c r="B76" s="82" t="s">
        <v>63</v>
      </c>
      <c r="C76" s="70" t="s">
        <v>170</v>
      </c>
      <c r="D76" s="71" t="s">
        <v>135</v>
      </c>
      <c r="E76" s="51">
        <v>1529.92</v>
      </c>
      <c r="F76" s="73">
        <v>90.12</v>
      </c>
      <c r="G76" s="61">
        <f t="shared" si="27"/>
        <v>137876.39000000001</v>
      </c>
      <c r="H76" s="54">
        <f t="shared" si="23"/>
        <v>0</v>
      </c>
      <c r="I76" s="53">
        <f t="shared" si="28"/>
        <v>0</v>
      </c>
      <c r="J76" s="135"/>
      <c r="K76" s="136">
        <f t="shared" si="29"/>
        <v>0</v>
      </c>
      <c r="L76" s="57">
        <f t="shared" si="24"/>
        <v>1529.92</v>
      </c>
      <c r="M76" s="61">
        <f t="shared" si="25"/>
        <v>137876.39000000001</v>
      </c>
      <c r="N76" s="58">
        <f t="shared" si="26"/>
        <v>0</v>
      </c>
      <c r="O76" s="217"/>
      <c r="P76" s="235"/>
      <c r="Q76" s="236"/>
      <c r="R76" s="237"/>
      <c r="S76" s="1">
        <f t="shared" si="3"/>
        <v>0</v>
      </c>
      <c r="T76" s="1"/>
      <c r="U76" s="1"/>
      <c r="V76" s="1"/>
      <c r="W76" s="1"/>
      <c r="X76" s="1"/>
      <c r="Y76" s="1"/>
      <c r="Z76" s="1"/>
      <c r="AA76" s="1"/>
      <c r="AB76" s="1"/>
      <c r="AD76" s="1"/>
      <c r="AE76" s="1"/>
      <c r="AF76" s="1"/>
      <c r="AG76" s="1"/>
      <c r="AH76" s="1"/>
      <c r="AI76" s="1"/>
      <c r="AJ76" s="1"/>
      <c r="AK76" s="1"/>
    </row>
    <row r="77" spans="1:37" s="3" customFormat="1" ht="39.950000000000003" customHeight="1" x14ac:dyDescent="0.25">
      <c r="A77" s="82">
        <v>1</v>
      </c>
      <c r="B77" s="82" t="s">
        <v>64</v>
      </c>
      <c r="C77" s="70" t="s">
        <v>56</v>
      </c>
      <c r="D77" s="71" t="s">
        <v>135</v>
      </c>
      <c r="E77" s="51">
        <v>10199.51</v>
      </c>
      <c r="F77" s="73">
        <v>99.82</v>
      </c>
      <c r="G77" s="53">
        <f t="shared" si="27"/>
        <v>1018115.09</v>
      </c>
      <c r="H77" s="54">
        <f t="shared" si="23"/>
        <v>5580.19</v>
      </c>
      <c r="I77" s="53">
        <f t="shared" si="28"/>
        <v>557014.56999999995</v>
      </c>
      <c r="J77" s="135"/>
      <c r="K77" s="136">
        <f t="shared" si="29"/>
        <v>0</v>
      </c>
      <c r="L77" s="57">
        <f t="shared" si="24"/>
        <v>4619.32</v>
      </c>
      <c r="M77" s="53">
        <f t="shared" si="25"/>
        <v>461100.52</v>
      </c>
      <c r="N77" s="58">
        <f t="shared" si="26"/>
        <v>0.54710000000000003</v>
      </c>
      <c r="O77" s="217"/>
      <c r="P77" s="235"/>
      <c r="Q77" s="236"/>
      <c r="R77" s="237"/>
      <c r="S77" s="1">
        <f t="shared" ref="S77:S140" si="30">SUM(T77:AK77)</f>
        <v>5580.19</v>
      </c>
      <c r="T77" s="1"/>
      <c r="U77" s="1"/>
      <c r="V77" s="1"/>
      <c r="W77" s="1"/>
      <c r="X77" s="1">
        <v>890.4</v>
      </c>
      <c r="Y77" s="1">
        <v>-544.6</v>
      </c>
      <c r="Z77" s="1">
        <v>585.98</v>
      </c>
      <c r="AA77" s="1">
        <v>597.29999999999995</v>
      </c>
      <c r="AB77" s="1">
        <v>1352.76</v>
      </c>
      <c r="AC77" s="3">
        <v>816.06</v>
      </c>
      <c r="AD77" s="1">
        <v>956.91</v>
      </c>
      <c r="AE77" s="1">
        <v>925.38</v>
      </c>
      <c r="AF77" s="1"/>
      <c r="AG77" s="1"/>
      <c r="AH77" s="1"/>
      <c r="AI77" s="1"/>
      <c r="AJ77" s="1"/>
      <c r="AK77" s="1"/>
    </row>
    <row r="78" spans="1:37" s="3" customFormat="1" ht="39.950000000000003" customHeight="1" x14ac:dyDescent="0.25">
      <c r="A78" s="82">
        <v>1</v>
      </c>
      <c r="B78" s="82" t="s">
        <v>199</v>
      </c>
      <c r="C78" s="70" t="s">
        <v>171</v>
      </c>
      <c r="D78" s="71" t="s">
        <v>135</v>
      </c>
      <c r="E78" s="51">
        <v>2294.89</v>
      </c>
      <c r="F78" s="73">
        <v>127.65</v>
      </c>
      <c r="G78" s="53">
        <f t="shared" si="27"/>
        <v>292942.71000000002</v>
      </c>
      <c r="H78" s="54">
        <f t="shared" si="23"/>
        <v>0</v>
      </c>
      <c r="I78" s="53">
        <f t="shared" si="28"/>
        <v>0</v>
      </c>
      <c r="J78" s="135"/>
      <c r="K78" s="136">
        <f t="shared" si="29"/>
        <v>0</v>
      </c>
      <c r="L78" s="57">
        <f t="shared" si="24"/>
        <v>2294.89</v>
      </c>
      <c r="M78" s="53">
        <f t="shared" si="25"/>
        <v>292942.71000000002</v>
      </c>
      <c r="N78" s="58">
        <f t="shared" si="26"/>
        <v>0</v>
      </c>
      <c r="O78" s="217"/>
      <c r="P78" s="3">
        <f>0.13/100</f>
        <v>1.2999999999999999E-3</v>
      </c>
      <c r="Q78" s="236"/>
      <c r="R78" s="237"/>
      <c r="S78" s="1">
        <f t="shared" si="30"/>
        <v>0</v>
      </c>
      <c r="T78" s="1"/>
      <c r="U78" s="1"/>
      <c r="V78" s="1"/>
      <c r="W78" s="1"/>
      <c r="X78" s="1"/>
      <c r="Y78" s="1"/>
      <c r="Z78" s="1"/>
      <c r="AA78" s="1"/>
      <c r="AB78" s="1"/>
      <c r="AD78" s="1"/>
      <c r="AE78" s="1"/>
      <c r="AF78" s="1"/>
      <c r="AG78" s="1"/>
      <c r="AH78" s="1"/>
      <c r="AI78" s="1"/>
      <c r="AJ78" s="1"/>
      <c r="AK78" s="1"/>
    </row>
    <row r="79" spans="1:37" s="3" customFormat="1" ht="39.950000000000003" customHeight="1" x14ac:dyDescent="0.2">
      <c r="A79" s="82">
        <v>1</v>
      </c>
      <c r="B79" s="82" t="s">
        <v>200</v>
      </c>
      <c r="C79" s="70" t="s">
        <v>172</v>
      </c>
      <c r="D79" s="71" t="s">
        <v>135</v>
      </c>
      <c r="E79" s="51">
        <v>3059.85</v>
      </c>
      <c r="F79" s="73">
        <v>90</v>
      </c>
      <c r="G79" s="53">
        <f t="shared" si="27"/>
        <v>275386.5</v>
      </c>
      <c r="H79" s="54">
        <f t="shared" si="23"/>
        <v>0</v>
      </c>
      <c r="I79" s="53">
        <f t="shared" si="28"/>
        <v>0</v>
      </c>
      <c r="J79" s="135"/>
      <c r="K79" s="136">
        <f t="shared" si="29"/>
        <v>0</v>
      </c>
      <c r="L79" s="57">
        <f t="shared" si="24"/>
        <v>3059.85</v>
      </c>
      <c r="M79" s="53">
        <f t="shared" si="25"/>
        <v>275386.5</v>
      </c>
      <c r="N79" s="58">
        <f t="shared" si="26"/>
        <v>0</v>
      </c>
      <c r="O79" s="235"/>
      <c r="Q79" s="236"/>
      <c r="R79" s="237"/>
      <c r="S79" s="1">
        <f t="shared" si="30"/>
        <v>0</v>
      </c>
      <c r="T79" s="1"/>
      <c r="U79" s="1"/>
      <c r="V79" s="1"/>
      <c r="W79" s="1"/>
      <c r="X79" s="1"/>
      <c r="Y79" s="1"/>
      <c r="Z79" s="1"/>
      <c r="AA79" s="1"/>
      <c r="AB79" s="1"/>
      <c r="AD79" s="1"/>
      <c r="AE79" s="1"/>
      <c r="AF79" s="1"/>
      <c r="AG79" s="1"/>
      <c r="AH79" s="1"/>
      <c r="AI79" s="1"/>
      <c r="AJ79" s="1"/>
      <c r="AK79" s="1"/>
    </row>
    <row r="80" spans="1:37" s="3" customFormat="1" ht="39.950000000000003" customHeight="1" x14ac:dyDescent="0.25">
      <c r="A80" s="82">
        <v>1</v>
      </c>
      <c r="B80" s="82" t="s">
        <v>201</v>
      </c>
      <c r="C80" s="70" t="s">
        <v>173</v>
      </c>
      <c r="D80" s="71" t="s">
        <v>135</v>
      </c>
      <c r="E80" s="51">
        <v>15299.26</v>
      </c>
      <c r="F80" s="73">
        <v>100</v>
      </c>
      <c r="G80" s="53">
        <f t="shared" si="27"/>
        <v>1529926</v>
      </c>
      <c r="H80" s="54">
        <f t="shared" si="23"/>
        <v>3371.87</v>
      </c>
      <c r="I80" s="53">
        <f t="shared" si="28"/>
        <v>337187</v>
      </c>
      <c r="J80" s="135"/>
      <c r="K80" s="136">
        <f t="shared" si="29"/>
        <v>0</v>
      </c>
      <c r="L80" s="57">
        <f t="shared" si="24"/>
        <v>11927.39</v>
      </c>
      <c r="M80" s="53">
        <f t="shared" si="25"/>
        <v>1192739</v>
      </c>
      <c r="N80" s="69">
        <f t="shared" si="26"/>
        <v>0.22040000000000001</v>
      </c>
      <c r="O80" s="217"/>
      <c r="Q80" s="236"/>
      <c r="R80" s="237"/>
      <c r="S80" s="1">
        <f t="shared" si="30"/>
        <v>3371.87</v>
      </c>
      <c r="T80" s="1"/>
      <c r="U80" s="1"/>
      <c r="V80" s="1">
        <f>453.7+0.004</f>
        <v>453.7</v>
      </c>
      <c r="W80" s="1">
        <f>653.5+0.0045</f>
        <v>653.5</v>
      </c>
      <c r="X80" s="1"/>
      <c r="Y80" s="1"/>
      <c r="Z80" s="1"/>
      <c r="AA80" s="1"/>
      <c r="AB80" s="1"/>
      <c r="AC80" s="3">
        <f>1239.82-0.2</f>
        <v>1239.6199999999999</v>
      </c>
      <c r="AD80" s="1">
        <f>909.74+0.004</f>
        <v>909.74</v>
      </c>
      <c r="AE80" s="1">
        <v>115.31</v>
      </c>
      <c r="AF80" s="1"/>
      <c r="AG80" s="1"/>
      <c r="AH80" s="1"/>
      <c r="AI80" s="1"/>
      <c r="AJ80" s="1"/>
      <c r="AK80" s="1"/>
    </row>
    <row r="81" spans="1:37" s="3" customFormat="1" ht="39.950000000000003" customHeight="1" x14ac:dyDescent="0.25">
      <c r="A81" s="82">
        <v>1</v>
      </c>
      <c r="B81" s="82" t="s">
        <v>202</v>
      </c>
      <c r="C81" s="70" t="s">
        <v>54</v>
      </c>
      <c r="D81" s="71" t="s">
        <v>124</v>
      </c>
      <c r="E81" s="51">
        <v>50997.53</v>
      </c>
      <c r="F81" s="73">
        <v>4</v>
      </c>
      <c r="G81" s="53">
        <f t="shared" si="27"/>
        <v>203990.12</v>
      </c>
      <c r="H81" s="54">
        <f t="shared" si="23"/>
        <v>25291.48</v>
      </c>
      <c r="I81" s="53">
        <f t="shared" si="28"/>
        <v>101165.92</v>
      </c>
      <c r="J81" s="135">
        <f>25291.48-21455.85</f>
        <v>3835.63</v>
      </c>
      <c r="K81" s="136">
        <f t="shared" si="29"/>
        <v>15342.52</v>
      </c>
      <c r="L81" s="57">
        <f t="shared" si="24"/>
        <v>25706.05</v>
      </c>
      <c r="M81" s="53">
        <f t="shared" si="25"/>
        <v>102824.2</v>
      </c>
      <c r="N81" s="58">
        <f t="shared" si="26"/>
        <v>0.49593999999999999</v>
      </c>
      <c r="O81" s="217"/>
      <c r="P81" s="235"/>
      <c r="Q81" s="236"/>
      <c r="R81" s="237"/>
      <c r="S81" s="1">
        <f t="shared" si="30"/>
        <v>21455.85</v>
      </c>
      <c r="T81" s="1"/>
      <c r="U81" s="1"/>
      <c r="V81" s="1"/>
      <c r="W81" s="1"/>
      <c r="X81" s="1"/>
      <c r="Y81" s="1">
        <v>1458.62</v>
      </c>
      <c r="Z81" s="1">
        <v>2639.29</v>
      </c>
      <c r="AA81" s="1">
        <v>2728.44</v>
      </c>
      <c r="AB81" s="1">
        <v>6188.83</v>
      </c>
      <c r="AC81" s="3">
        <v>3708.91</v>
      </c>
      <c r="AD81" s="1">
        <v>3320.05</v>
      </c>
      <c r="AE81" s="1">
        <v>1411.71</v>
      </c>
      <c r="AF81" s="1"/>
      <c r="AG81" s="1"/>
      <c r="AH81" s="1"/>
      <c r="AI81" s="1"/>
      <c r="AJ81" s="1"/>
      <c r="AK81" s="1"/>
    </row>
    <row r="82" spans="1:37" s="3" customFormat="1" ht="39.950000000000003" customHeight="1" x14ac:dyDescent="0.25">
      <c r="A82" s="82">
        <v>1</v>
      </c>
      <c r="B82" s="82" t="s">
        <v>203</v>
      </c>
      <c r="C82" s="70" t="s">
        <v>174</v>
      </c>
      <c r="D82" s="71" t="s">
        <v>124</v>
      </c>
      <c r="E82" s="51">
        <v>101995.06</v>
      </c>
      <c r="F82" s="73">
        <v>2.5</v>
      </c>
      <c r="G82" s="53">
        <f t="shared" si="27"/>
        <v>254987.65</v>
      </c>
      <c r="H82" s="54">
        <f t="shared" si="23"/>
        <v>27419.06</v>
      </c>
      <c r="I82" s="53">
        <f t="shared" si="28"/>
        <v>68547.649999999994</v>
      </c>
      <c r="J82" s="135">
        <f>25291.48-21455.85+1050.71+1076.87</f>
        <v>5963.21</v>
      </c>
      <c r="K82" s="136">
        <f t="shared" si="29"/>
        <v>14908.03</v>
      </c>
      <c r="L82" s="57">
        <f t="shared" si="24"/>
        <v>74576</v>
      </c>
      <c r="M82" s="53">
        <f t="shared" si="25"/>
        <v>186440</v>
      </c>
      <c r="N82" s="58">
        <f t="shared" si="26"/>
        <v>0.26883000000000001</v>
      </c>
      <c r="O82" s="217"/>
      <c r="P82" s="235"/>
      <c r="Q82" s="236"/>
      <c r="R82" s="237"/>
      <c r="S82" s="1">
        <f t="shared" si="30"/>
        <v>21455.85</v>
      </c>
      <c r="T82" s="1"/>
      <c r="U82" s="1"/>
      <c r="V82" s="1"/>
      <c r="W82" s="1"/>
      <c r="X82" s="1"/>
      <c r="Y82" s="1">
        <v>1458.62</v>
      </c>
      <c r="Z82" s="1">
        <v>2639.29</v>
      </c>
      <c r="AA82" s="1">
        <v>2728.44</v>
      </c>
      <c r="AB82" s="1">
        <v>6188.83</v>
      </c>
      <c r="AC82" s="3">
        <v>3708.91</v>
      </c>
      <c r="AD82" s="1">
        <v>3320.05</v>
      </c>
      <c r="AE82" s="1">
        <v>1411.71</v>
      </c>
      <c r="AF82" s="1"/>
      <c r="AG82" s="1"/>
      <c r="AH82" s="1"/>
      <c r="AI82" s="1"/>
      <c r="AJ82" s="1"/>
      <c r="AK82" s="1"/>
    </row>
    <row r="83" spans="1:37" s="3" customFormat="1" ht="39.950000000000003" customHeight="1" x14ac:dyDescent="0.25">
      <c r="A83" s="82">
        <v>1</v>
      </c>
      <c r="B83" s="82" t="s">
        <v>204</v>
      </c>
      <c r="C83" s="70" t="s">
        <v>175</v>
      </c>
      <c r="D83" s="71" t="s">
        <v>135</v>
      </c>
      <c r="E83" s="51">
        <v>2039.9</v>
      </c>
      <c r="F83" s="73">
        <v>580.85</v>
      </c>
      <c r="G83" s="53">
        <f t="shared" si="27"/>
        <v>1184875.92</v>
      </c>
      <c r="H83" s="54">
        <f t="shared" si="23"/>
        <v>1011.67</v>
      </c>
      <c r="I83" s="53">
        <f t="shared" si="28"/>
        <v>587628.52</v>
      </c>
      <c r="J83" s="135">
        <f>J81*0.04</f>
        <v>153.43</v>
      </c>
      <c r="K83" s="136">
        <f t="shared" si="29"/>
        <v>89119.82</v>
      </c>
      <c r="L83" s="57">
        <f t="shared" si="24"/>
        <v>1028.23</v>
      </c>
      <c r="M83" s="53">
        <f t="shared" si="25"/>
        <v>597247.4</v>
      </c>
      <c r="N83" s="58">
        <f t="shared" si="26"/>
        <v>0.49593999999999999</v>
      </c>
      <c r="O83" s="217"/>
      <c r="P83" s="235"/>
      <c r="Q83" s="236"/>
      <c r="R83" s="237"/>
      <c r="S83" s="1">
        <f t="shared" si="30"/>
        <v>858.24</v>
      </c>
      <c r="T83" s="1"/>
      <c r="U83" s="1"/>
      <c r="V83" s="1"/>
      <c r="W83" s="1"/>
      <c r="X83" s="1"/>
      <c r="Y83" s="1">
        <v>58.34</v>
      </c>
      <c r="Z83" s="1">
        <v>105.58</v>
      </c>
      <c r="AA83" s="1">
        <v>109.14</v>
      </c>
      <c r="AB83" s="1">
        <v>247.55</v>
      </c>
      <c r="AC83" s="3">
        <v>148.36000000000001</v>
      </c>
      <c r="AD83" s="1">
        <v>132.80000000000001</v>
      </c>
      <c r="AE83" s="1">
        <v>56.47</v>
      </c>
      <c r="AF83" s="1"/>
      <c r="AG83" s="1"/>
      <c r="AH83" s="1"/>
      <c r="AI83" s="1"/>
      <c r="AJ83" s="1"/>
      <c r="AK83" s="1"/>
    </row>
    <row r="84" spans="1:37" s="3" customFormat="1" ht="39.950000000000003" customHeight="1" x14ac:dyDescent="0.25">
      <c r="A84" s="82">
        <v>1</v>
      </c>
      <c r="B84" s="82" t="s">
        <v>205</v>
      </c>
      <c r="C84" s="70" t="s">
        <v>176</v>
      </c>
      <c r="D84" s="71" t="s">
        <v>137</v>
      </c>
      <c r="E84" s="51">
        <v>40798</v>
      </c>
      <c r="F84" s="73">
        <v>1.47</v>
      </c>
      <c r="G84" s="53">
        <f t="shared" si="27"/>
        <v>59973.06</v>
      </c>
      <c r="H84" s="54">
        <f t="shared" si="23"/>
        <v>13353.96</v>
      </c>
      <c r="I84" s="53">
        <f t="shared" si="28"/>
        <v>19630.32</v>
      </c>
      <c r="J84" s="135">
        <f>J83*13.2</f>
        <v>2025.28</v>
      </c>
      <c r="K84" s="136">
        <f t="shared" si="29"/>
        <v>2977.16</v>
      </c>
      <c r="L84" s="57">
        <f t="shared" si="24"/>
        <v>27444.04</v>
      </c>
      <c r="M84" s="53">
        <f t="shared" si="25"/>
        <v>40342.74</v>
      </c>
      <c r="N84" s="58">
        <f t="shared" si="26"/>
        <v>0.32732</v>
      </c>
      <c r="O84" s="217"/>
      <c r="P84" s="235"/>
      <c r="Q84" s="236"/>
      <c r="R84" s="237"/>
      <c r="S84" s="1">
        <f t="shared" si="30"/>
        <v>11328.68</v>
      </c>
      <c r="T84" s="1"/>
      <c r="U84" s="1"/>
      <c r="V84" s="1"/>
      <c r="W84" s="1"/>
      <c r="X84" s="1"/>
      <c r="Y84" s="1">
        <v>770.15</v>
      </c>
      <c r="Z84" s="1">
        <v>1393.59</v>
      </c>
      <c r="AA84" s="1">
        <v>1440.65</v>
      </c>
      <c r="AB84" s="1">
        <v>3267.55</v>
      </c>
      <c r="AC84" s="3">
        <v>1958.35</v>
      </c>
      <c r="AD84" s="1">
        <v>1752.99</v>
      </c>
      <c r="AE84" s="1">
        <v>745.4</v>
      </c>
      <c r="AF84" s="1"/>
      <c r="AG84" s="1"/>
      <c r="AH84" s="1"/>
      <c r="AI84" s="1"/>
      <c r="AJ84" s="1"/>
      <c r="AK84" s="1"/>
    </row>
    <row r="85" spans="1:37" s="3" customFormat="1" ht="39.950000000000003" customHeight="1" x14ac:dyDescent="0.25">
      <c r="A85" s="82">
        <v>1</v>
      </c>
      <c r="B85" s="82" t="s">
        <v>206</v>
      </c>
      <c r="C85" s="70" t="s">
        <v>177</v>
      </c>
      <c r="D85" s="71" t="s">
        <v>135</v>
      </c>
      <c r="E85" s="51">
        <v>2229.9</v>
      </c>
      <c r="F85" s="73">
        <v>630</v>
      </c>
      <c r="G85" s="61">
        <f t="shared" si="27"/>
        <v>1404837</v>
      </c>
      <c r="H85" s="54">
        <f t="shared" si="23"/>
        <v>85.1</v>
      </c>
      <c r="I85" s="53">
        <f t="shared" si="28"/>
        <v>53613</v>
      </c>
      <c r="J85" s="135">
        <f>(1050.71+1076.87)*0.04</f>
        <v>85.1</v>
      </c>
      <c r="K85" s="136">
        <f t="shared" si="29"/>
        <v>53613</v>
      </c>
      <c r="L85" s="57">
        <f t="shared" si="24"/>
        <v>2144.8000000000002</v>
      </c>
      <c r="M85" s="61">
        <f t="shared" si="25"/>
        <v>1351224</v>
      </c>
      <c r="N85" s="58">
        <f t="shared" si="26"/>
        <v>3.8159999999999999E-2</v>
      </c>
      <c r="O85" s="217"/>
      <c r="P85" s="235"/>
      <c r="Q85" s="236"/>
      <c r="R85" s="237"/>
      <c r="S85" s="1">
        <f t="shared" si="30"/>
        <v>0</v>
      </c>
      <c r="T85" s="1"/>
      <c r="U85" s="1"/>
      <c r="V85" s="1"/>
      <c r="W85" s="1"/>
      <c r="X85" s="1"/>
      <c r="Y85" s="1"/>
      <c r="Z85" s="1"/>
      <c r="AA85" s="1"/>
      <c r="AB85" s="1"/>
      <c r="AD85" s="1"/>
      <c r="AE85" s="1"/>
      <c r="AF85" s="1"/>
      <c r="AG85" s="1"/>
      <c r="AH85" s="1"/>
      <c r="AI85" s="1"/>
      <c r="AJ85" s="1"/>
      <c r="AK85" s="1"/>
    </row>
    <row r="86" spans="1:37" s="3" customFormat="1" ht="49.5" customHeight="1" x14ac:dyDescent="0.25">
      <c r="A86" s="35">
        <v>1</v>
      </c>
      <c r="B86" s="35" t="s">
        <v>207</v>
      </c>
      <c r="C86" s="49" t="s">
        <v>178</v>
      </c>
      <c r="D86" s="50" t="s">
        <v>137</v>
      </c>
      <c r="E86" s="51">
        <v>44598.02</v>
      </c>
      <c r="F86" s="52">
        <v>1.47</v>
      </c>
      <c r="G86" s="61">
        <f>E86*F86</f>
        <v>65559.09</v>
      </c>
      <c r="H86" s="54">
        <f t="shared" si="23"/>
        <v>1123.3599999999999</v>
      </c>
      <c r="I86" s="53">
        <f t="shared" si="28"/>
        <v>1651.34</v>
      </c>
      <c r="J86" s="135">
        <v>1123.3599999999999</v>
      </c>
      <c r="K86" s="136">
        <f t="shared" si="29"/>
        <v>1651.34</v>
      </c>
      <c r="L86" s="57">
        <f t="shared" si="24"/>
        <v>43474.66</v>
      </c>
      <c r="M86" s="61">
        <f t="shared" si="25"/>
        <v>63907.75</v>
      </c>
      <c r="N86" s="58">
        <f t="shared" si="26"/>
        <v>2.5190000000000001E-2</v>
      </c>
      <c r="O86" s="217"/>
      <c r="P86" s="235"/>
      <c r="Q86" s="236"/>
      <c r="R86" s="237"/>
      <c r="S86" s="1">
        <f t="shared" si="30"/>
        <v>0</v>
      </c>
      <c r="T86" s="1"/>
      <c r="U86" s="1"/>
      <c r="V86" s="1"/>
      <c r="W86" s="1"/>
      <c r="X86" s="1"/>
      <c r="Y86" s="1"/>
      <c r="Z86" s="1"/>
      <c r="AA86" s="1"/>
      <c r="AB86" s="1"/>
      <c r="AD86" s="1"/>
      <c r="AE86" s="1"/>
      <c r="AF86" s="1"/>
      <c r="AG86" s="1"/>
      <c r="AH86" s="1"/>
      <c r="AI86" s="1"/>
      <c r="AJ86" s="1"/>
      <c r="AK86" s="1"/>
    </row>
    <row r="87" spans="1:37" s="3" customFormat="1" ht="54" x14ac:dyDescent="0.25">
      <c r="A87" s="35">
        <v>1</v>
      </c>
      <c r="B87" s="35" t="s">
        <v>208</v>
      </c>
      <c r="C87" s="49" t="s">
        <v>179</v>
      </c>
      <c r="D87" s="50" t="s">
        <v>124</v>
      </c>
      <c r="E87" s="51">
        <v>3800</v>
      </c>
      <c r="F87" s="52">
        <v>7.24</v>
      </c>
      <c r="G87" s="61">
        <f t="shared" ref="G87:G99" si="31">E87*F87</f>
        <v>27512</v>
      </c>
      <c r="H87" s="54">
        <f t="shared" si="23"/>
        <v>0</v>
      </c>
      <c r="I87" s="53">
        <f t="shared" si="28"/>
        <v>0</v>
      </c>
      <c r="J87" s="135"/>
      <c r="K87" s="136">
        <f t="shared" si="29"/>
        <v>0</v>
      </c>
      <c r="L87" s="57">
        <f t="shared" si="24"/>
        <v>3800</v>
      </c>
      <c r="M87" s="61">
        <f t="shared" si="25"/>
        <v>27512</v>
      </c>
      <c r="N87" s="58">
        <f t="shared" si="26"/>
        <v>0</v>
      </c>
      <c r="O87" s="217"/>
      <c r="P87" s="235"/>
      <c r="Q87" s="236"/>
      <c r="R87" s="237"/>
      <c r="S87" s="1">
        <f t="shared" si="30"/>
        <v>0</v>
      </c>
      <c r="T87" s="1"/>
      <c r="U87" s="1"/>
      <c r="V87" s="1"/>
      <c r="W87" s="1"/>
      <c r="X87" s="1"/>
      <c r="Y87" s="1"/>
      <c r="Z87" s="1"/>
      <c r="AA87" s="1"/>
      <c r="AB87" s="1"/>
      <c r="AD87" s="1"/>
      <c r="AE87" s="1"/>
      <c r="AF87" s="1"/>
      <c r="AG87" s="1"/>
      <c r="AH87" s="1"/>
      <c r="AI87" s="1"/>
      <c r="AJ87" s="1"/>
      <c r="AK87" s="1"/>
    </row>
    <row r="88" spans="1:37" s="3" customFormat="1" ht="39.950000000000003" customHeight="1" x14ac:dyDescent="0.25">
      <c r="A88" s="35">
        <v>1</v>
      </c>
      <c r="B88" s="35" t="s">
        <v>209</v>
      </c>
      <c r="C88" s="76" t="s">
        <v>180</v>
      </c>
      <c r="D88" s="77" t="s">
        <v>42</v>
      </c>
      <c r="E88" s="51">
        <v>566.79999999999995</v>
      </c>
      <c r="F88" s="52">
        <v>5.26</v>
      </c>
      <c r="G88" s="61">
        <f t="shared" si="31"/>
        <v>2981.37</v>
      </c>
      <c r="H88" s="54">
        <f t="shared" si="23"/>
        <v>0</v>
      </c>
      <c r="I88" s="53">
        <f t="shared" si="28"/>
        <v>0</v>
      </c>
      <c r="J88" s="135"/>
      <c r="K88" s="136">
        <f t="shared" si="29"/>
        <v>0</v>
      </c>
      <c r="L88" s="57">
        <f t="shared" si="24"/>
        <v>566.79999999999995</v>
      </c>
      <c r="M88" s="61">
        <f t="shared" si="25"/>
        <v>2981.37</v>
      </c>
      <c r="N88" s="58">
        <f t="shared" si="26"/>
        <v>0</v>
      </c>
      <c r="O88" s="217"/>
      <c r="P88" s="235"/>
      <c r="Q88" s="236"/>
      <c r="R88" s="237"/>
      <c r="S88" s="1">
        <f t="shared" si="30"/>
        <v>0</v>
      </c>
      <c r="T88" s="1"/>
      <c r="U88" s="1"/>
      <c r="V88" s="1"/>
      <c r="W88" s="1"/>
      <c r="X88" s="1"/>
      <c r="Y88" s="1"/>
      <c r="Z88" s="1"/>
      <c r="AA88" s="1"/>
      <c r="AB88" s="1"/>
      <c r="AD88" s="1"/>
      <c r="AE88" s="1"/>
      <c r="AF88" s="1"/>
      <c r="AG88" s="1"/>
      <c r="AH88" s="1"/>
      <c r="AI88" s="1"/>
      <c r="AJ88" s="1"/>
      <c r="AK88" s="1"/>
    </row>
    <row r="89" spans="1:37" s="3" customFormat="1" ht="39.950000000000003" customHeight="1" x14ac:dyDescent="0.25">
      <c r="A89" s="35">
        <v>1</v>
      </c>
      <c r="B89" s="35" t="s">
        <v>210</v>
      </c>
      <c r="C89" s="76" t="s">
        <v>181</v>
      </c>
      <c r="D89" s="77" t="s">
        <v>182</v>
      </c>
      <c r="E89" s="51">
        <v>11336</v>
      </c>
      <c r="F89" s="52">
        <v>0.15</v>
      </c>
      <c r="G89" s="61">
        <f t="shared" si="31"/>
        <v>1700.4</v>
      </c>
      <c r="H89" s="54">
        <f t="shared" si="23"/>
        <v>0</v>
      </c>
      <c r="I89" s="53">
        <f t="shared" si="28"/>
        <v>0</v>
      </c>
      <c r="J89" s="135"/>
      <c r="K89" s="136">
        <f t="shared" si="29"/>
        <v>0</v>
      </c>
      <c r="L89" s="57">
        <f t="shared" si="24"/>
        <v>11336</v>
      </c>
      <c r="M89" s="61">
        <f t="shared" si="25"/>
        <v>1700.4</v>
      </c>
      <c r="N89" s="58">
        <f t="shared" si="26"/>
        <v>0</v>
      </c>
      <c r="O89" s="217"/>
      <c r="P89" s="235"/>
      <c r="Q89" s="236"/>
      <c r="R89" s="237"/>
      <c r="S89" s="1">
        <f t="shared" si="30"/>
        <v>0</v>
      </c>
      <c r="T89" s="1"/>
      <c r="U89" s="1"/>
      <c r="V89" s="1"/>
      <c r="W89" s="1"/>
      <c r="X89" s="1"/>
      <c r="Y89" s="1"/>
      <c r="Z89" s="1"/>
      <c r="AA89" s="1"/>
      <c r="AB89" s="1"/>
      <c r="AD89" s="1"/>
      <c r="AE89" s="1"/>
      <c r="AF89" s="1"/>
      <c r="AG89" s="1"/>
      <c r="AH89" s="1"/>
      <c r="AI89" s="1"/>
      <c r="AJ89" s="1"/>
      <c r="AK89" s="1"/>
    </row>
    <row r="90" spans="1:37" s="3" customFormat="1" ht="39.950000000000003" customHeight="1" x14ac:dyDescent="0.25">
      <c r="A90" s="35">
        <v>1</v>
      </c>
      <c r="B90" s="35" t="s">
        <v>211</v>
      </c>
      <c r="C90" s="76" t="s">
        <v>183</v>
      </c>
      <c r="D90" s="77" t="s">
        <v>124</v>
      </c>
      <c r="E90" s="51">
        <v>896.33</v>
      </c>
      <c r="F90" s="52">
        <v>10.64</v>
      </c>
      <c r="G90" s="61">
        <f t="shared" si="31"/>
        <v>9536.9500000000007</v>
      </c>
      <c r="H90" s="54">
        <f t="shared" si="23"/>
        <v>0</v>
      </c>
      <c r="I90" s="53">
        <f t="shared" si="28"/>
        <v>0</v>
      </c>
      <c r="J90" s="135"/>
      <c r="K90" s="136">
        <f t="shared" si="29"/>
        <v>0</v>
      </c>
      <c r="L90" s="57">
        <f t="shared" si="24"/>
        <v>896.33</v>
      </c>
      <c r="M90" s="61">
        <f t="shared" si="25"/>
        <v>9536.9500000000007</v>
      </c>
      <c r="N90" s="58">
        <f t="shared" si="26"/>
        <v>0</v>
      </c>
      <c r="O90" s="217"/>
      <c r="P90" s="235"/>
      <c r="Q90" s="236"/>
      <c r="R90" s="237"/>
      <c r="S90" s="1">
        <f t="shared" si="30"/>
        <v>0</v>
      </c>
      <c r="T90" s="1"/>
      <c r="U90" s="1"/>
      <c r="V90" s="1"/>
      <c r="W90" s="1"/>
      <c r="X90" s="1"/>
      <c r="Y90" s="1"/>
      <c r="Z90" s="1"/>
      <c r="AA90" s="1"/>
      <c r="AB90" s="1"/>
      <c r="AD90" s="1"/>
      <c r="AE90" s="1"/>
      <c r="AF90" s="1"/>
      <c r="AG90" s="1"/>
      <c r="AH90" s="1"/>
      <c r="AI90" s="1"/>
      <c r="AJ90" s="1"/>
      <c r="AK90" s="1"/>
    </row>
    <row r="91" spans="1:37" s="3" customFormat="1" ht="39.950000000000003" customHeight="1" x14ac:dyDescent="0.25">
      <c r="A91" s="35">
        <v>1</v>
      </c>
      <c r="B91" s="35" t="s">
        <v>212</v>
      </c>
      <c r="C91" s="60" t="s">
        <v>184</v>
      </c>
      <c r="D91" s="77" t="s">
        <v>185</v>
      </c>
      <c r="E91" s="51">
        <v>17926.599999999999</v>
      </c>
      <c r="F91" s="52">
        <v>0.27</v>
      </c>
      <c r="G91" s="61">
        <f t="shared" si="31"/>
        <v>4840.18</v>
      </c>
      <c r="H91" s="54">
        <f t="shared" si="23"/>
        <v>0</v>
      </c>
      <c r="I91" s="53"/>
      <c r="J91" s="135"/>
      <c r="K91" s="136">
        <f t="shared" si="29"/>
        <v>0</v>
      </c>
      <c r="L91" s="57">
        <f t="shared" si="24"/>
        <v>17926.599999999999</v>
      </c>
      <c r="M91" s="61">
        <f t="shared" si="25"/>
        <v>4840.18</v>
      </c>
      <c r="N91" s="58">
        <f t="shared" si="26"/>
        <v>0</v>
      </c>
      <c r="O91" s="217"/>
      <c r="P91" s="235"/>
      <c r="Q91" s="236"/>
      <c r="R91" s="237"/>
      <c r="S91" s="1">
        <f t="shared" si="30"/>
        <v>0</v>
      </c>
      <c r="T91" s="1"/>
      <c r="U91" s="1"/>
      <c r="V91" s="1"/>
      <c r="W91" s="1"/>
      <c r="X91" s="1"/>
      <c r="Y91" s="1"/>
      <c r="Z91" s="1"/>
      <c r="AA91" s="1"/>
      <c r="AB91" s="1"/>
      <c r="AD91" s="1"/>
      <c r="AE91" s="1"/>
      <c r="AF91" s="1"/>
      <c r="AG91" s="1"/>
      <c r="AH91" s="1"/>
      <c r="AI91" s="1"/>
      <c r="AJ91" s="1"/>
      <c r="AK91" s="1"/>
    </row>
    <row r="92" spans="1:37" s="3" customFormat="1" ht="39.950000000000003" customHeight="1" x14ac:dyDescent="0.25">
      <c r="A92" s="35">
        <v>1</v>
      </c>
      <c r="B92" s="35" t="s">
        <v>213</v>
      </c>
      <c r="C92" s="76" t="s">
        <v>186</v>
      </c>
      <c r="D92" s="77" t="s">
        <v>135</v>
      </c>
      <c r="E92" s="51">
        <v>766.42</v>
      </c>
      <c r="F92" s="52">
        <v>340</v>
      </c>
      <c r="G92" s="61">
        <f t="shared" si="31"/>
        <v>260582.8</v>
      </c>
      <c r="H92" s="54">
        <f t="shared" si="23"/>
        <v>252.19</v>
      </c>
      <c r="I92" s="53">
        <f t="shared" si="28"/>
        <v>85744.6</v>
      </c>
      <c r="J92" s="135"/>
      <c r="K92" s="136">
        <f t="shared" si="29"/>
        <v>0</v>
      </c>
      <c r="L92" s="57">
        <f t="shared" si="24"/>
        <v>514.23</v>
      </c>
      <c r="M92" s="61">
        <f t="shared" si="25"/>
        <v>174838.2</v>
      </c>
      <c r="N92" s="58">
        <f t="shared" si="26"/>
        <v>0.32905000000000001</v>
      </c>
      <c r="O92" s="217"/>
      <c r="P92" s="235"/>
      <c r="Q92" s="236"/>
      <c r="R92" s="237"/>
      <c r="S92" s="1">
        <f t="shared" si="30"/>
        <v>252.19</v>
      </c>
      <c r="T92" s="1"/>
      <c r="U92" s="1"/>
      <c r="V92" s="1"/>
      <c r="W92" s="1"/>
      <c r="X92" s="1"/>
      <c r="Y92" s="1">
        <v>10.31</v>
      </c>
      <c r="Z92" s="1">
        <v>44.55</v>
      </c>
      <c r="AA92" s="1">
        <v>25.38</v>
      </c>
      <c r="AB92" s="1">
        <v>51.08</v>
      </c>
      <c r="AC92" s="3">
        <v>33.840000000000003</v>
      </c>
      <c r="AD92" s="1">
        <v>50.22</v>
      </c>
      <c r="AE92" s="1">
        <v>36.81</v>
      </c>
      <c r="AF92" s="1"/>
      <c r="AG92" s="1"/>
      <c r="AH92" s="1"/>
      <c r="AI92" s="1"/>
      <c r="AJ92" s="1"/>
      <c r="AK92" s="1"/>
    </row>
    <row r="93" spans="1:37" s="3" customFormat="1" ht="39.950000000000003" customHeight="1" x14ac:dyDescent="0.25">
      <c r="A93" s="35">
        <v>1</v>
      </c>
      <c r="B93" s="35" t="s">
        <v>214</v>
      </c>
      <c r="C93" s="76" t="s">
        <v>187</v>
      </c>
      <c r="D93" s="77" t="s">
        <v>135</v>
      </c>
      <c r="E93" s="51">
        <v>414.03</v>
      </c>
      <c r="F93" s="52">
        <v>450</v>
      </c>
      <c r="G93" s="61">
        <f t="shared" si="31"/>
        <v>186313.5</v>
      </c>
      <c r="H93" s="54">
        <f t="shared" si="23"/>
        <v>242.5</v>
      </c>
      <c r="I93" s="53">
        <f t="shared" si="28"/>
        <v>109125</v>
      </c>
      <c r="J93" s="135"/>
      <c r="K93" s="136">
        <f t="shared" si="29"/>
        <v>0</v>
      </c>
      <c r="L93" s="57">
        <f t="shared" si="24"/>
        <v>171.53</v>
      </c>
      <c r="M93" s="61">
        <f t="shared" si="25"/>
        <v>77188.5</v>
      </c>
      <c r="N93" s="58">
        <f t="shared" si="26"/>
        <v>0.58570999999999995</v>
      </c>
      <c r="O93" s="217"/>
      <c r="P93" s="235"/>
      <c r="Q93" s="236"/>
      <c r="R93" s="237"/>
      <c r="S93" s="1">
        <f t="shared" si="30"/>
        <v>242.5</v>
      </c>
      <c r="T93" s="1"/>
      <c r="U93" s="1"/>
      <c r="V93" s="1"/>
      <c r="W93" s="1"/>
      <c r="X93" s="1"/>
      <c r="Y93" s="1">
        <v>15.47</v>
      </c>
      <c r="Z93" s="1">
        <v>29.7</v>
      </c>
      <c r="AA93" s="1">
        <v>25.38</v>
      </c>
      <c r="AB93" s="1">
        <v>51.08</v>
      </c>
      <c r="AC93" s="3">
        <v>33.840000000000003</v>
      </c>
      <c r="AD93" s="1">
        <v>50.22</v>
      </c>
      <c r="AE93" s="1">
        <v>36.81</v>
      </c>
      <c r="AF93" s="1"/>
      <c r="AG93" s="1"/>
      <c r="AH93" s="1"/>
      <c r="AI93" s="1"/>
      <c r="AJ93" s="1"/>
      <c r="AK93" s="1"/>
    </row>
    <row r="94" spans="1:37" s="3" customFormat="1" ht="39.950000000000003" customHeight="1" x14ac:dyDescent="0.25">
      <c r="A94" s="35">
        <v>1</v>
      </c>
      <c r="B94" s="35" t="s">
        <v>215</v>
      </c>
      <c r="C94" s="60" t="s">
        <v>188</v>
      </c>
      <c r="D94" s="50" t="s">
        <v>135</v>
      </c>
      <c r="E94" s="51">
        <v>34</v>
      </c>
      <c r="F94" s="52">
        <v>365.8</v>
      </c>
      <c r="G94" s="61">
        <f t="shared" si="31"/>
        <v>12437.2</v>
      </c>
      <c r="H94" s="54">
        <f t="shared" si="23"/>
        <v>0</v>
      </c>
      <c r="I94" s="53">
        <f t="shared" si="28"/>
        <v>0</v>
      </c>
      <c r="J94" s="135"/>
      <c r="K94" s="136">
        <f t="shared" si="29"/>
        <v>0</v>
      </c>
      <c r="L94" s="57">
        <f t="shared" si="24"/>
        <v>34</v>
      </c>
      <c r="M94" s="61">
        <f t="shared" si="25"/>
        <v>12437.2</v>
      </c>
      <c r="N94" s="58">
        <f t="shared" si="26"/>
        <v>0</v>
      </c>
      <c r="O94" s="217"/>
      <c r="P94" s="235"/>
      <c r="Q94" s="236"/>
      <c r="R94" s="237"/>
      <c r="S94" s="1">
        <f t="shared" si="30"/>
        <v>0</v>
      </c>
      <c r="T94" s="1"/>
      <c r="U94" s="1"/>
      <c r="V94" s="1"/>
      <c r="W94" s="1"/>
      <c r="X94" s="1"/>
      <c r="Y94" s="1"/>
      <c r="Z94" s="1"/>
      <c r="AA94" s="1"/>
      <c r="AB94" s="1"/>
      <c r="AD94" s="1"/>
      <c r="AE94" s="1"/>
      <c r="AF94" s="1"/>
      <c r="AG94" s="1"/>
      <c r="AH94" s="1"/>
      <c r="AI94" s="1"/>
      <c r="AJ94" s="1"/>
      <c r="AK94" s="1"/>
    </row>
    <row r="95" spans="1:37" s="3" customFormat="1" ht="39.950000000000003" customHeight="1" x14ac:dyDescent="0.25">
      <c r="A95" s="35">
        <v>1</v>
      </c>
      <c r="B95" s="35" t="s">
        <v>216</v>
      </c>
      <c r="C95" s="76" t="s">
        <v>145</v>
      </c>
      <c r="D95" s="77" t="s">
        <v>135</v>
      </c>
      <c r="E95" s="51">
        <v>500</v>
      </c>
      <c r="F95" s="52">
        <v>92.25</v>
      </c>
      <c r="G95" s="61">
        <f t="shared" si="31"/>
        <v>46125</v>
      </c>
      <c r="H95" s="54">
        <f t="shared" si="23"/>
        <v>0</v>
      </c>
      <c r="I95" s="53">
        <f t="shared" si="28"/>
        <v>0</v>
      </c>
      <c r="J95" s="135"/>
      <c r="K95" s="136">
        <f t="shared" si="29"/>
        <v>0</v>
      </c>
      <c r="L95" s="57">
        <f t="shared" si="24"/>
        <v>500</v>
      </c>
      <c r="M95" s="61">
        <f t="shared" si="25"/>
        <v>46125</v>
      </c>
      <c r="N95" s="58">
        <f t="shared" si="26"/>
        <v>0</v>
      </c>
      <c r="O95" s="217"/>
      <c r="P95" s="235"/>
      <c r="Q95" s="236"/>
      <c r="R95" s="237"/>
      <c r="S95" s="1">
        <f t="shared" si="30"/>
        <v>0</v>
      </c>
      <c r="T95" s="1"/>
      <c r="U95" s="1"/>
      <c r="V95" s="1"/>
      <c r="W95" s="1"/>
      <c r="X95" s="1"/>
      <c r="Y95" s="1"/>
      <c r="Z95" s="1"/>
      <c r="AA95" s="1"/>
      <c r="AB95" s="1"/>
      <c r="AD95" s="1"/>
      <c r="AE95" s="1"/>
      <c r="AF95" s="1"/>
      <c r="AG95" s="1"/>
      <c r="AH95" s="1"/>
      <c r="AI95" s="1"/>
      <c r="AJ95" s="1"/>
      <c r="AK95" s="1"/>
    </row>
    <row r="96" spans="1:37" s="3" customFormat="1" ht="39.950000000000003" customHeight="1" x14ac:dyDescent="0.25">
      <c r="A96" s="35">
        <v>1</v>
      </c>
      <c r="B96" s="35" t="s">
        <v>217</v>
      </c>
      <c r="C96" s="76" t="s">
        <v>148</v>
      </c>
      <c r="D96" s="78" t="s">
        <v>137</v>
      </c>
      <c r="E96" s="51">
        <v>5000</v>
      </c>
      <c r="F96" s="52">
        <v>0.8</v>
      </c>
      <c r="G96" s="61">
        <f t="shared" si="31"/>
        <v>4000</v>
      </c>
      <c r="H96" s="54">
        <f t="shared" si="23"/>
        <v>0</v>
      </c>
      <c r="I96" s="53">
        <f t="shared" si="28"/>
        <v>0</v>
      </c>
      <c r="J96" s="135"/>
      <c r="K96" s="136">
        <f t="shared" si="29"/>
        <v>0</v>
      </c>
      <c r="L96" s="57">
        <f t="shared" si="24"/>
        <v>5000</v>
      </c>
      <c r="M96" s="61">
        <f t="shared" si="25"/>
        <v>4000</v>
      </c>
      <c r="N96" s="58">
        <f t="shared" si="26"/>
        <v>0</v>
      </c>
      <c r="O96" s="217"/>
      <c r="P96" s="235"/>
      <c r="Q96" s="236"/>
      <c r="R96" s="237"/>
      <c r="S96" s="1">
        <f t="shared" si="30"/>
        <v>0</v>
      </c>
      <c r="T96" s="1"/>
      <c r="U96" s="1"/>
      <c r="V96" s="1"/>
      <c r="W96" s="1"/>
      <c r="X96" s="1"/>
      <c r="Y96" s="1"/>
      <c r="Z96" s="1"/>
      <c r="AA96" s="1"/>
      <c r="AB96" s="1"/>
      <c r="AD96" s="1"/>
      <c r="AE96" s="1"/>
      <c r="AF96" s="1"/>
      <c r="AG96" s="1"/>
      <c r="AH96" s="1"/>
      <c r="AI96" s="1"/>
      <c r="AJ96" s="1"/>
      <c r="AK96" s="1"/>
    </row>
    <row r="97" spans="1:37" s="3" customFormat="1" ht="36" x14ac:dyDescent="0.25">
      <c r="A97" s="35">
        <v>1</v>
      </c>
      <c r="B97" s="35" t="s">
        <v>218</v>
      </c>
      <c r="C97" s="49" t="s">
        <v>189</v>
      </c>
      <c r="D97" s="50" t="s">
        <v>135</v>
      </c>
      <c r="E97" s="51">
        <v>1880.11</v>
      </c>
      <c r="F97" s="52">
        <v>385</v>
      </c>
      <c r="G97" s="61">
        <f t="shared" si="31"/>
        <v>723842.35</v>
      </c>
      <c r="H97" s="54">
        <f t="shared" si="23"/>
        <v>184</v>
      </c>
      <c r="I97" s="53">
        <f t="shared" si="28"/>
        <v>70840</v>
      </c>
      <c r="J97" s="135">
        <f>8*13</f>
        <v>104</v>
      </c>
      <c r="K97" s="136">
        <f t="shared" si="29"/>
        <v>40040</v>
      </c>
      <c r="L97" s="57">
        <f t="shared" si="24"/>
        <v>1696.11</v>
      </c>
      <c r="M97" s="61">
        <f t="shared" si="25"/>
        <v>653002.35</v>
      </c>
      <c r="N97" s="58">
        <f t="shared" si="26"/>
        <v>9.7869999999999999E-2</v>
      </c>
      <c r="O97" s="217"/>
      <c r="P97" s="235"/>
      <c r="Q97" s="236"/>
      <c r="R97" s="237"/>
      <c r="S97" s="1">
        <f t="shared" si="30"/>
        <v>80</v>
      </c>
      <c r="T97" s="1"/>
      <c r="U97" s="1"/>
      <c r="V97" s="1"/>
      <c r="W97" s="1"/>
      <c r="X97" s="1"/>
      <c r="Y97" s="1"/>
      <c r="Z97" s="1"/>
      <c r="AA97" s="1"/>
      <c r="AB97" s="1"/>
      <c r="AD97" s="1"/>
      <c r="AE97" s="1">
        <v>80</v>
      </c>
      <c r="AF97" s="1"/>
      <c r="AG97" s="1"/>
      <c r="AH97" s="1"/>
      <c r="AI97" s="1"/>
      <c r="AJ97" s="1"/>
      <c r="AK97" s="1"/>
    </row>
    <row r="98" spans="1:37" s="3" customFormat="1" ht="36" x14ac:dyDescent="0.25">
      <c r="A98" s="35">
        <v>1</v>
      </c>
      <c r="B98" s="35" t="s">
        <v>219</v>
      </c>
      <c r="C98" s="49" t="s">
        <v>190</v>
      </c>
      <c r="D98" s="50" t="s">
        <v>135</v>
      </c>
      <c r="E98" s="51">
        <v>337.91</v>
      </c>
      <c r="F98" s="52">
        <v>390</v>
      </c>
      <c r="G98" s="61">
        <f t="shared" si="31"/>
        <v>131784.9</v>
      </c>
      <c r="H98" s="54">
        <f t="shared" si="23"/>
        <v>0</v>
      </c>
      <c r="I98" s="53">
        <f t="shared" si="28"/>
        <v>0</v>
      </c>
      <c r="J98" s="135"/>
      <c r="K98" s="136">
        <f t="shared" si="29"/>
        <v>0</v>
      </c>
      <c r="L98" s="57">
        <f t="shared" si="24"/>
        <v>337.91</v>
      </c>
      <c r="M98" s="61">
        <f t="shared" si="25"/>
        <v>131784.9</v>
      </c>
      <c r="N98" s="58">
        <f t="shared" si="26"/>
        <v>0</v>
      </c>
      <c r="O98" s="217"/>
      <c r="P98" s="235"/>
      <c r="Q98" s="236"/>
      <c r="R98" s="237"/>
      <c r="S98" s="1">
        <f t="shared" si="30"/>
        <v>0</v>
      </c>
      <c r="T98" s="1"/>
      <c r="U98" s="1"/>
      <c r="V98" s="1"/>
      <c r="W98" s="1"/>
      <c r="X98" s="1"/>
      <c r="Y98" s="1"/>
      <c r="Z98" s="1"/>
      <c r="AA98" s="1"/>
      <c r="AB98" s="1"/>
      <c r="AD98" s="1"/>
      <c r="AE98" s="1"/>
      <c r="AF98" s="1"/>
      <c r="AG98" s="1"/>
      <c r="AH98" s="1"/>
      <c r="AI98" s="1"/>
      <c r="AJ98" s="1"/>
      <c r="AK98" s="1"/>
    </row>
    <row r="99" spans="1:37" s="3" customFormat="1" ht="39.950000000000003" customHeight="1" x14ac:dyDescent="0.25">
      <c r="A99" s="35">
        <v>1</v>
      </c>
      <c r="B99" s="35" t="s">
        <v>220</v>
      </c>
      <c r="C99" s="76" t="s">
        <v>191</v>
      </c>
      <c r="D99" s="50" t="s">
        <v>124</v>
      </c>
      <c r="E99" s="51">
        <v>3379.06</v>
      </c>
      <c r="F99" s="52">
        <v>17.190000000000001</v>
      </c>
      <c r="G99" s="61">
        <f t="shared" si="31"/>
        <v>58086.04</v>
      </c>
      <c r="H99" s="54">
        <f t="shared" si="23"/>
        <v>0</v>
      </c>
      <c r="I99" s="53">
        <f t="shared" si="28"/>
        <v>0</v>
      </c>
      <c r="J99" s="135"/>
      <c r="K99" s="136">
        <f t="shared" si="29"/>
        <v>0</v>
      </c>
      <c r="L99" s="57">
        <f t="shared" si="24"/>
        <v>3379.06</v>
      </c>
      <c r="M99" s="61">
        <f t="shared" si="25"/>
        <v>58086.04</v>
      </c>
      <c r="N99" s="58">
        <f t="shared" si="26"/>
        <v>0</v>
      </c>
      <c r="O99" s="217"/>
      <c r="P99" s="235"/>
      <c r="Q99" s="236"/>
      <c r="R99" s="237"/>
      <c r="S99" s="1">
        <f t="shared" si="30"/>
        <v>0</v>
      </c>
      <c r="T99" s="1"/>
      <c r="U99" s="1"/>
      <c r="V99" s="1"/>
      <c r="W99" s="1"/>
      <c r="X99" s="1"/>
      <c r="Y99" s="1"/>
      <c r="Z99" s="1"/>
      <c r="AA99" s="1"/>
      <c r="AB99" s="1"/>
      <c r="AD99" s="1"/>
      <c r="AE99" s="1"/>
      <c r="AF99" s="1"/>
      <c r="AG99" s="1"/>
      <c r="AH99" s="1"/>
      <c r="AI99" s="1"/>
      <c r="AJ99" s="1"/>
      <c r="AK99" s="1"/>
    </row>
    <row r="100" spans="1:37" s="3" customFormat="1" ht="39.950000000000003" customHeight="1" x14ac:dyDescent="0.25">
      <c r="A100" s="83">
        <v>1</v>
      </c>
      <c r="B100" s="83" t="s">
        <v>221</v>
      </c>
      <c r="C100" s="49" t="s">
        <v>192</v>
      </c>
      <c r="D100" s="50" t="s">
        <v>124</v>
      </c>
      <c r="E100" s="51">
        <v>608.23</v>
      </c>
      <c r="F100" s="52">
        <v>36.270000000000003</v>
      </c>
      <c r="G100" s="53">
        <f>E100*F100</f>
        <v>22060.5</v>
      </c>
      <c r="H100" s="54">
        <f t="shared" si="23"/>
        <v>0</v>
      </c>
      <c r="I100" s="53">
        <f t="shared" si="28"/>
        <v>0</v>
      </c>
      <c r="J100" s="135"/>
      <c r="K100" s="136">
        <f t="shared" si="29"/>
        <v>0</v>
      </c>
      <c r="L100" s="57">
        <f t="shared" si="24"/>
        <v>608.23</v>
      </c>
      <c r="M100" s="53">
        <f t="shared" si="25"/>
        <v>22060.5</v>
      </c>
      <c r="N100" s="58">
        <f t="shared" si="26"/>
        <v>0</v>
      </c>
      <c r="O100" s="217"/>
      <c r="P100" s="235"/>
      <c r="Q100" s="236"/>
      <c r="R100" s="237"/>
      <c r="S100" s="1">
        <f t="shared" si="30"/>
        <v>0</v>
      </c>
      <c r="T100" s="1"/>
      <c r="U100" s="1"/>
      <c r="V100" s="1"/>
      <c r="W100" s="1"/>
      <c r="X100" s="1"/>
      <c r="Y100" s="1"/>
      <c r="Z100" s="1"/>
      <c r="AA100" s="1"/>
      <c r="AB100" s="1"/>
      <c r="AD100" s="1"/>
      <c r="AE100" s="1"/>
      <c r="AF100" s="1"/>
      <c r="AG100" s="1"/>
      <c r="AH100" s="1"/>
      <c r="AI100" s="1"/>
      <c r="AJ100" s="1"/>
      <c r="AK100" s="1"/>
    </row>
    <row r="101" spans="1:37" s="3" customFormat="1" ht="39.950000000000003" customHeight="1" x14ac:dyDescent="0.25">
      <c r="A101" s="83">
        <v>1</v>
      </c>
      <c r="B101" s="83" t="s">
        <v>222</v>
      </c>
      <c r="C101" s="60" t="s">
        <v>193</v>
      </c>
      <c r="D101" s="50" t="s">
        <v>124</v>
      </c>
      <c r="E101" s="59">
        <v>252</v>
      </c>
      <c r="F101" s="52">
        <v>85.74</v>
      </c>
      <c r="G101" s="53">
        <f t="shared" ref="G101:G120" si="32">E101*F101</f>
        <v>21606.48</v>
      </c>
      <c r="H101" s="54">
        <f t="shared" si="23"/>
        <v>0</v>
      </c>
      <c r="I101" s="53">
        <f t="shared" si="28"/>
        <v>0</v>
      </c>
      <c r="J101" s="135"/>
      <c r="K101" s="136">
        <f t="shared" si="29"/>
        <v>0</v>
      </c>
      <c r="L101" s="57">
        <f t="shared" si="24"/>
        <v>252</v>
      </c>
      <c r="M101" s="53">
        <f t="shared" si="25"/>
        <v>21606.48</v>
      </c>
      <c r="N101" s="58">
        <f t="shared" si="26"/>
        <v>0</v>
      </c>
      <c r="O101" s="217"/>
      <c r="P101" s="235"/>
      <c r="Q101" s="236"/>
      <c r="R101" s="237"/>
      <c r="S101" s="1">
        <f t="shared" si="30"/>
        <v>0</v>
      </c>
      <c r="T101" s="1"/>
      <c r="U101" s="1"/>
      <c r="V101" s="1"/>
      <c r="W101" s="1"/>
      <c r="X101" s="1"/>
      <c r="Y101" s="1"/>
      <c r="Z101" s="1"/>
      <c r="AA101" s="1"/>
      <c r="AB101" s="1"/>
      <c r="AD101" s="1"/>
      <c r="AE101" s="1"/>
      <c r="AF101" s="1"/>
      <c r="AG101" s="1"/>
      <c r="AH101" s="1"/>
      <c r="AI101" s="1"/>
      <c r="AJ101" s="1"/>
      <c r="AK101" s="1"/>
    </row>
    <row r="102" spans="1:37" s="3" customFormat="1" ht="39.950000000000003" customHeight="1" x14ac:dyDescent="0.25">
      <c r="A102" s="83">
        <v>1</v>
      </c>
      <c r="B102" s="83" t="s">
        <v>223</v>
      </c>
      <c r="C102" s="60" t="s">
        <v>194</v>
      </c>
      <c r="D102" s="50" t="s">
        <v>124</v>
      </c>
      <c r="E102" s="59">
        <v>2577.6</v>
      </c>
      <c r="F102" s="52">
        <v>85.74</v>
      </c>
      <c r="G102" s="61">
        <f t="shared" si="32"/>
        <v>221003.42</v>
      </c>
      <c r="H102" s="54">
        <f t="shared" si="23"/>
        <v>0</v>
      </c>
      <c r="I102" s="53">
        <f t="shared" si="28"/>
        <v>0</v>
      </c>
      <c r="J102" s="135"/>
      <c r="K102" s="136">
        <f t="shared" si="29"/>
        <v>0</v>
      </c>
      <c r="L102" s="57">
        <f t="shared" si="24"/>
        <v>2577.6</v>
      </c>
      <c r="M102" s="61">
        <f t="shared" si="25"/>
        <v>221003.42</v>
      </c>
      <c r="N102" s="58">
        <f t="shared" si="26"/>
        <v>0</v>
      </c>
      <c r="O102" s="217"/>
      <c r="P102" s="235"/>
      <c r="Q102" s="236"/>
      <c r="R102" s="237"/>
      <c r="S102" s="1">
        <f t="shared" si="30"/>
        <v>0</v>
      </c>
      <c r="T102" s="1"/>
      <c r="U102" s="1"/>
      <c r="V102" s="1"/>
      <c r="W102" s="1"/>
      <c r="X102" s="1"/>
      <c r="Y102" s="1"/>
      <c r="Z102" s="1"/>
      <c r="AA102" s="1"/>
      <c r="AB102" s="1"/>
      <c r="AD102" s="1"/>
      <c r="AE102" s="1"/>
      <c r="AF102" s="1"/>
      <c r="AG102" s="1"/>
      <c r="AH102" s="1"/>
      <c r="AI102" s="1"/>
      <c r="AJ102" s="1"/>
      <c r="AK102" s="1"/>
    </row>
    <row r="103" spans="1:37" s="3" customFormat="1" ht="39.950000000000003" customHeight="1" x14ac:dyDescent="0.25">
      <c r="A103" s="83">
        <v>1</v>
      </c>
      <c r="B103" s="83" t="s">
        <v>224</v>
      </c>
      <c r="C103" s="60" t="s">
        <v>163</v>
      </c>
      <c r="D103" s="50" t="s">
        <v>42</v>
      </c>
      <c r="E103" s="59">
        <v>550</v>
      </c>
      <c r="F103" s="52">
        <v>618.92999999999995</v>
      </c>
      <c r="G103" s="61">
        <f t="shared" si="32"/>
        <v>340411.5</v>
      </c>
      <c r="H103" s="54">
        <f t="shared" si="23"/>
        <v>0</v>
      </c>
      <c r="I103" s="53">
        <f t="shared" si="28"/>
        <v>0</v>
      </c>
      <c r="J103" s="135"/>
      <c r="K103" s="136">
        <f t="shared" si="29"/>
        <v>0</v>
      </c>
      <c r="L103" s="57">
        <f t="shared" si="24"/>
        <v>550</v>
      </c>
      <c r="M103" s="61">
        <f t="shared" si="25"/>
        <v>340411.5</v>
      </c>
      <c r="N103" s="58">
        <f t="shared" si="26"/>
        <v>0</v>
      </c>
      <c r="O103" s="217"/>
      <c r="P103" s="235"/>
      <c r="Q103" s="236"/>
      <c r="R103" s="237"/>
      <c r="S103" s="1">
        <f t="shared" si="30"/>
        <v>0</v>
      </c>
      <c r="T103" s="1"/>
      <c r="U103" s="1"/>
      <c r="V103" s="1"/>
      <c r="W103" s="1"/>
      <c r="X103" s="1"/>
      <c r="Y103" s="1"/>
      <c r="Z103" s="1"/>
      <c r="AA103" s="1"/>
      <c r="AB103" s="1"/>
      <c r="AD103" s="1"/>
      <c r="AE103" s="1"/>
      <c r="AF103" s="1"/>
      <c r="AG103" s="1"/>
      <c r="AH103" s="1"/>
      <c r="AI103" s="1"/>
      <c r="AJ103" s="1"/>
      <c r="AK103" s="1"/>
    </row>
    <row r="104" spans="1:37" s="3" customFormat="1" ht="39.75" customHeight="1" x14ac:dyDescent="0.25">
      <c r="A104" s="83">
        <v>1</v>
      </c>
      <c r="B104" s="83" t="s">
        <v>225</v>
      </c>
      <c r="C104" s="49" t="s">
        <v>195</v>
      </c>
      <c r="D104" s="50" t="s">
        <v>42</v>
      </c>
      <c r="E104" s="59">
        <v>1550</v>
      </c>
      <c r="F104" s="52">
        <v>193.45</v>
      </c>
      <c r="G104" s="61">
        <f t="shared" si="32"/>
        <v>299847.5</v>
      </c>
      <c r="H104" s="54">
        <f t="shared" si="23"/>
        <v>0</v>
      </c>
      <c r="I104" s="53">
        <f t="shared" si="28"/>
        <v>0</v>
      </c>
      <c r="J104" s="135"/>
      <c r="K104" s="136">
        <f t="shared" si="29"/>
        <v>0</v>
      </c>
      <c r="L104" s="57">
        <f t="shared" si="24"/>
        <v>1550</v>
      </c>
      <c r="M104" s="61">
        <f t="shared" si="25"/>
        <v>299847.5</v>
      </c>
      <c r="N104" s="58">
        <f t="shared" si="26"/>
        <v>0</v>
      </c>
      <c r="O104" s="217"/>
      <c r="P104" s="235"/>
      <c r="Q104" s="236"/>
      <c r="R104" s="237"/>
      <c r="S104" s="1">
        <f t="shared" si="30"/>
        <v>0</v>
      </c>
      <c r="T104" s="1"/>
      <c r="U104" s="1"/>
      <c r="V104" s="1"/>
      <c r="W104" s="1"/>
      <c r="X104" s="1"/>
      <c r="Y104" s="1"/>
      <c r="Z104" s="1"/>
      <c r="AA104" s="1"/>
      <c r="AB104" s="1"/>
      <c r="AD104" s="1"/>
      <c r="AE104" s="1"/>
      <c r="AF104" s="1"/>
      <c r="AG104" s="1"/>
      <c r="AH104" s="1"/>
      <c r="AI104" s="1"/>
      <c r="AJ104" s="1"/>
      <c r="AK104" s="1"/>
    </row>
    <row r="105" spans="1:37" s="3" customFormat="1" ht="39.950000000000003" customHeight="1" x14ac:dyDescent="0.25">
      <c r="A105" s="83">
        <v>1</v>
      </c>
      <c r="B105" s="83" t="s">
        <v>226</v>
      </c>
      <c r="C105" s="80" t="s">
        <v>196</v>
      </c>
      <c r="D105" s="71" t="s">
        <v>135</v>
      </c>
      <c r="E105" s="51">
        <v>940</v>
      </c>
      <c r="F105" s="73">
        <v>94.04</v>
      </c>
      <c r="G105" s="53">
        <f t="shared" si="32"/>
        <v>88397.6</v>
      </c>
      <c r="H105" s="54">
        <f t="shared" si="23"/>
        <v>707.28</v>
      </c>
      <c r="I105" s="53">
        <f t="shared" si="28"/>
        <v>66512.61</v>
      </c>
      <c r="J105" s="135">
        <f>90*1.6*0.4</f>
        <v>57.6</v>
      </c>
      <c r="K105" s="136">
        <f t="shared" si="29"/>
        <v>5416.7</v>
      </c>
      <c r="L105" s="57">
        <f t="shared" si="24"/>
        <v>232.72</v>
      </c>
      <c r="M105" s="53">
        <f t="shared" si="25"/>
        <v>21884.99</v>
      </c>
      <c r="N105" s="58">
        <f t="shared" si="26"/>
        <v>0.75243000000000004</v>
      </c>
      <c r="O105" s="217"/>
      <c r="P105" s="235"/>
      <c r="Q105" s="236"/>
      <c r="R105" s="237"/>
      <c r="S105" s="1">
        <f t="shared" si="30"/>
        <v>649.67999999999995</v>
      </c>
      <c r="T105" s="1"/>
      <c r="U105" s="1"/>
      <c r="V105" s="1"/>
      <c r="W105" s="1"/>
      <c r="X105" s="1"/>
      <c r="Y105" s="1"/>
      <c r="Z105" s="1">
        <v>67.2</v>
      </c>
      <c r="AA105" s="1"/>
      <c r="AB105" s="1">
        <v>220</v>
      </c>
      <c r="AC105" s="3">
        <v>249.2</v>
      </c>
      <c r="AD105" s="1">
        <v>26.24</v>
      </c>
      <c r="AE105" s="1">
        <v>87.04</v>
      </c>
      <c r="AF105" s="1"/>
      <c r="AG105" s="1"/>
      <c r="AH105" s="1"/>
      <c r="AI105" s="1"/>
      <c r="AJ105" s="1"/>
      <c r="AK105" s="1"/>
    </row>
    <row r="106" spans="1:37" s="3" customFormat="1" ht="70.5" customHeight="1" x14ac:dyDescent="0.25">
      <c r="A106" s="83">
        <v>1</v>
      </c>
      <c r="B106" s="83" t="s">
        <v>227</v>
      </c>
      <c r="C106" s="49" t="s">
        <v>197</v>
      </c>
      <c r="D106" s="50" t="s">
        <v>42</v>
      </c>
      <c r="E106" s="59">
        <v>3398</v>
      </c>
      <c r="F106" s="52">
        <v>17.41</v>
      </c>
      <c r="G106" s="61">
        <f t="shared" si="32"/>
        <v>59159.18</v>
      </c>
      <c r="H106" s="54">
        <f t="shared" si="23"/>
        <v>1803</v>
      </c>
      <c r="I106" s="53">
        <f t="shared" si="28"/>
        <v>31390.23</v>
      </c>
      <c r="J106" s="135">
        <v>0</v>
      </c>
      <c r="K106" s="136">
        <f t="shared" si="29"/>
        <v>0</v>
      </c>
      <c r="L106" s="57">
        <f t="shared" si="24"/>
        <v>1595</v>
      </c>
      <c r="M106" s="61">
        <f t="shared" si="25"/>
        <v>27768.95</v>
      </c>
      <c r="N106" s="58">
        <f t="shared" si="26"/>
        <v>0.53061000000000003</v>
      </c>
      <c r="O106" s="217"/>
      <c r="P106" s="235"/>
      <c r="Q106" s="236"/>
      <c r="R106" s="237"/>
      <c r="S106" s="1">
        <f t="shared" si="30"/>
        <v>1803</v>
      </c>
      <c r="T106" s="1"/>
      <c r="U106" s="1"/>
      <c r="V106" s="1"/>
      <c r="W106" s="1"/>
      <c r="X106" s="1"/>
      <c r="Y106" s="1"/>
      <c r="Z106" s="1"/>
      <c r="AA106" s="1"/>
      <c r="AB106" s="1">
        <v>745</v>
      </c>
      <c r="AC106" s="3">
        <v>350</v>
      </c>
      <c r="AD106" s="1">
        <v>164</v>
      </c>
      <c r="AE106" s="1">
        <v>544</v>
      </c>
      <c r="AF106" s="1"/>
      <c r="AG106" s="1"/>
      <c r="AH106" s="1"/>
      <c r="AI106" s="1"/>
      <c r="AJ106" s="1"/>
      <c r="AK106" s="1"/>
    </row>
    <row r="107" spans="1:37" s="3" customFormat="1" ht="62.25" customHeight="1" x14ac:dyDescent="0.25">
      <c r="A107" s="83">
        <v>1</v>
      </c>
      <c r="B107" s="83" t="s">
        <v>228</v>
      </c>
      <c r="C107" s="76" t="s">
        <v>550</v>
      </c>
      <c r="D107" s="77" t="s">
        <v>124</v>
      </c>
      <c r="E107" s="59">
        <v>6287</v>
      </c>
      <c r="F107" s="52">
        <v>2.96</v>
      </c>
      <c r="G107" s="61">
        <f t="shared" si="32"/>
        <v>18609.52</v>
      </c>
      <c r="H107" s="54">
        <f t="shared" si="23"/>
        <v>5833.1</v>
      </c>
      <c r="I107" s="53">
        <f t="shared" si="28"/>
        <v>17265.98</v>
      </c>
      <c r="J107" s="135">
        <v>217.2</v>
      </c>
      <c r="K107" s="136">
        <f t="shared" si="29"/>
        <v>642.91</v>
      </c>
      <c r="L107" s="57">
        <f t="shared" si="24"/>
        <v>453.9</v>
      </c>
      <c r="M107" s="61">
        <f t="shared" si="25"/>
        <v>1343.54</v>
      </c>
      <c r="N107" s="69">
        <f t="shared" si="26"/>
        <v>0.92779999999999996</v>
      </c>
      <c r="O107" s="217"/>
      <c r="P107" s="235"/>
      <c r="Q107" s="236"/>
      <c r="R107" s="237"/>
      <c r="S107" s="1">
        <f t="shared" si="30"/>
        <v>5615.9</v>
      </c>
      <c r="T107" s="1"/>
      <c r="U107" s="1"/>
      <c r="V107" s="1">
        <v>521.5</v>
      </c>
      <c r="W107" s="1"/>
      <c r="X107" s="1"/>
      <c r="Y107" s="1"/>
      <c r="Z107" s="1">
        <v>344</v>
      </c>
      <c r="AA107" s="1"/>
      <c r="AB107" s="1">
        <v>1857</v>
      </c>
      <c r="AC107" s="3">
        <v>1619</v>
      </c>
      <c r="AD107" s="1">
        <v>295.2</v>
      </c>
      <c r="AE107" s="1">
        <v>979.2</v>
      </c>
      <c r="AF107" s="1"/>
      <c r="AG107" s="1"/>
      <c r="AH107" s="1"/>
      <c r="AI107" s="1"/>
      <c r="AJ107" s="1"/>
      <c r="AK107" s="1"/>
    </row>
    <row r="108" spans="1:37" s="3" customFormat="1" ht="39.950000000000003" customHeight="1" x14ac:dyDescent="0.25">
      <c r="A108" s="309" t="s">
        <v>495</v>
      </c>
      <c r="B108" s="310"/>
      <c r="C108" s="310"/>
      <c r="D108" s="310"/>
      <c r="E108" s="310"/>
      <c r="F108" s="311"/>
      <c r="G108" s="62">
        <f>SUM(G68:G107)</f>
        <v>9880046.7200000007</v>
      </c>
      <c r="H108" s="63"/>
      <c r="I108" s="62">
        <f>SUM(I68:I107)</f>
        <v>2585648.7400000002</v>
      </c>
      <c r="J108" s="64"/>
      <c r="K108" s="62">
        <f>SUM(K68:K107)</f>
        <v>223711.48</v>
      </c>
      <c r="L108" s="65"/>
      <c r="M108" s="62">
        <f>SUM(M68:M107)</f>
        <v>7294397.9699999997</v>
      </c>
      <c r="N108" s="75">
        <f t="shared" si="26"/>
        <v>0.26169999999999999</v>
      </c>
      <c r="O108" s="217"/>
      <c r="P108" s="235"/>
      <c r="Q108" s="236"/>
      <c r="R108" s="237"/>
      <c r="S108" s="1">
        <f t="shared" si="30"/>
        <v>0</v>
      </c>
      <c r="T108" s="1"/>
      <c r="U108" s="1"/>
      <c r="V108" s="1"/>
      <c r="W108" s="1"/>
      <c r="X108" s="1"/>
      <c r="Y108" s="1"/>
      <c r="Z108" s="1"/>
      <c r="AA108" s="1"/>
      <c r="AB108" s="1"/>
      <c r="AD108" s="1"/>
      <c r="AE108" s="1"/>
      <c r="AF108" s="1"/>
      <c r="AG108" s="1"/>
      <c r="AH108" s="1"/>
      <c r="AI108" s="1"/>
      <c r="AJ108" s="1"/>
      <c r="AK108" s="1"/>
    </row>
    <row r="109" spans="1:37" s="3" customFormat="1" ht="39.950000000000003" customHeight="1" x14ac:dyDescent="0.25">
      <c r="A109" s="47">
        <v>1</v>
      </c>
      <c r="B109" s="47" t="s">
        <v>38</v>
      </c>
      <c r="C109" s="291" t="s">
        <v>229</v>
      </c>
      <c r="D109" s="292"/>
      <c r="E109" s="292"/>
      <c r="F109" s="292"/>
      <c r="G109" s="292"/>
      <c r="H109" s="292"/>
      <c r="I109" s="292"/>
      <c r="J109" s="292"/>
      <c r="K109" s="292"/>
      <c r="L109" s="292"/>
      <c r="M109" s="292"/>
      <c r="N109" s="293"/>
      <c r="O109" s="217"/>
      <c r="P109" s="235"/>
      <c r="Q109" s="236"/>
      <c r="R109" s="237"/>
      <c r="S109" s="1">
        <f t="shared" si="30"/>
        <v>0</v>
      </c>
      <c r="T109" s="1"/>
      <c r="U109" s="1"/>
      <c r="V109" s="1"/>
      <c r="W109" s="1"/>
      <c r="X109" s="1"/>
      <c r="Y109" s="1"/>
      <c r="Z109" s="1"/>
      <c r="AA109" s="1"/>
      <c r="AB109" s="1"/>
      <c r="AD109" s="1"/>
      <c r="AE109" s="1"/>
      <c r="AF109" s="1"/>
      <c r="AG109" s="1"/>
      <c r="AH109" s="1"/>
      <c r="AI109" s="1"/>
      <c r="AJ109" s="1"/>
      <c r="AK109" s="1"/>
    </row>
    <row r="110" spans="1:37" s="259" customFormat="1" ht="39.950000000000003" customHeight="1" x14ac:dyDescent="0.25">
      <c r="A110" s="216">
        <v>1</v>
      </c>
      <c r="B110" s="216" t="s">
        <v>39</v>
      </c>
      <c r="C110" s="60" t="s">
        <v>230</v>
      </c>
      <c r="D110" s="50" t="s">
        <v>135</v>
      </c>
      <c r="E110" s="59">
        <v>6896.4</v>
      </c>
      <c r="F110" s="52">
        <v>8.61</v>
      </c>
      <c r="G110" s="206">
        <f>E110*F110</f>
        <v>59378</v>
      </c>
      <c r="H110" s="207">
        <f t="shared" ref="H110:H149" si="33">S110+J110</f>
        <v>6896.4</v>
      </c>
      <c r="I110" s="206">
        <f t="shared" si="28"/>
        <v>59378</v>
      </c>
      <c r="J110" s="261">
        <v>254.46</v>
      </c>
      <c r="K110" s="136">
        <f t="shared" si="29"/>
        <v>2190.9</v>
      </c>
      <c r="L110" s="208">
        <f t="shared" ref="L110:L149" si="34">E110-H110</f>
        <v>0</v>
      </c>
      <c r="M110" s="206">
        <f t="shared" ref="M110:M149" si="35">L110*F110</f>
        <v>0</v>
      </c>
      <c r="N110" s="214">
        <f t="shared" ref="N110:N150" si="36">IF(G110=0,"",I110/G110)</f>
        <v>1</v>
      </c>
      <c r="O110" s="254"/>
      <c r="P110" s="255"/>
      <c r="Q110" s="256"/>
      <c r="R110" s="257"/>
      <c r="S110" s="258">
        <f t="shared" si="30"/>
        <v>6641.94</v>
      </c>
      <c r="T110" s="258"/>
      <c r="U110" s="258"/>
      <c r="V110" s="258"/>
      <c r="W110" s="258"/>
      <c r="X110" s="258"/>
      <c r="Y110" s="258">
        <v>458.85</v>
      </c>
      <c r="Z110" s="258">
        <v>990.16</v>
      </c>
      <c r="AA110" s="258">
        <v>1530.76</v>
      </c>
      <c r="AB110" s="258">
        <v>695.69</v>
      </c>
      <c r="AC110" s="259">
        <v>2172.39</v>
      </c>
      <c r="AD110" s="258">
        <v>26.24</v>
      </c>
      <c r="AE110" s="258">
        <v>767.85</v>
      </c>
      <c r="AF110" s="258"/>
      <c r="AG110" s="258"/>
      <c r="AH110" s="258"/>
      <c r="AI110" s="258"/>
      <c r="AJ110" s="258"/>
      <c r="AK110" s="258"/>
    </row>
    <row r="111" spans="1:37" s="3" customFormat="1" ht="39.950000000000003" customHeight="1" x14ac:dyDescent="0.25">
      <c r="A111" s="67">
        <v>1</v>
      </c>
      <c r="B111" s="67" t="s">
        <v>95</v>
      </c>
      <c r="C111" s="76" t="s">
        <v>166</v>
      </c>
      <c r="D111" s="77" t="s">
        <v>135</v>
      </c>
      <c r="E111" s="59">
        <v>2060.06</v>
      </c>
      <c r="F111" s="52">
        <v>6.16</v>
      </c>
      <c r="G111" s="61">
        <f t="shared" si="32"/>
        <v>12689.97</v>
      </c>
      <c r="H111" s="54">
        <f t="shared" si="33"/>
        <v>1085.8499999999999</v>
      </c>
      <c r="I111" s="53">
        <f t="shared" si="28"/>
        <v>6688.84</v>
      </c>
      <c r="J111" s="261">
        <v>75.39</v>
      </c>
      <c r="K111" s="136">
        <f t="shared" si="29"/>
        <v>464.4</v>
      </c>
      <c r="L111" s="57">
        <f t="shared" si="34"/>
        <v>974.21</v>
      </c>
      <c r="M111" s="61">
        <f t="shared" si="35"/>
        <v>6001.13</v>
      </c>
      <c r="N111" s="58">
        <f t="shared" si="36"/>
        <v>0.52710000000000001</v>
      </c>
      <c r="O111" s="217"/>
      <c r="P111" s="235"/>
      <c r="Q111" s="236"/>
      <c r="R111" s="237"/>
      <c r="S111" s="1">
        <f t="shared" si="30"/>
        <v>1010.46</v>
      </c>
      <c r="T111" s="1"/>
      <c r="U111" s="1"/>
      <c r="V111" s="1"/>
      <c r="W111" s="1"/>
      <c r="X111" s="1"/>
      <c r="Y111" s="1">
        <v>57.72</v>
      </c>
      <c r="Z111" s="1">
        <v>162.36000000000001</v>
      </c>
      <c r="AA111" s="1">
        <v>92.08</v>
      </c>
      <c r="AB111" s="1">
        <v>278.14</v>
      </c>
      <c r="AC111" s="3">
        <v>379.83</v>
      </c>
      <c r="AD111" s="1"/>
      <c r="AE111" s="1">
        <v>40.33</v>
      </c>
      <c r="AF111" s="1"/>
      <c r="AG111" s="1"/>
      <c r="AH111" s="1"/>
      <c r="AI111" s="1"/>
      <c r="AJ111" s="1"/>
      <c r="AK111" s="1"/>
    </row>
    <row r="112" spans="1:37" s="3" customFormat="1" ht="39.950000000000003" customHeight="1" x14ac:dyDescent="0.25">
      <c r="A112" s="67">
        <v>1</v>
      </c>
      <c r="B112" s="67" t="s">
        <v>96</v>
      </c>
      <c r="C112" s="76" t="s">
        <v>168</v>
      </c>
      <c r="D112" s="78" t="s">
        <v>137</v>
      </c>
      <c r="E112" s="79">
        <v>41201.199999999997</v>
      </c>
      <c r="F112" s="52">
        <v>0.77</v>
      </c>
      <c r="G112" s="53">
        <f t="shared" ref="G112" si="37">E112*F112</f>
        <v>31724.92</v>
      </c>
      <c r="H112" s="54">
        <f t="shared" si="33"/>
        <v>0</v>
      </c>
      <c r="I112" s="55">
        <f t="shared" si="28"/>
        <v>0</v>
      </c>
      <c r="J112" s="260"/>
      <c r="K112" s="134">
        <f t="shared" si="29"/>
        <v>0</v>
      </c>
      <c r="L112" s="57">
        <f t="shared" si="34"/>
        <v>41201.199999999997</v>
      </c>
      <c r="M112" s="53">
        <f t="shared" si="35"/>
        <v>31724.92</v>
      </c>
      <c r="N112" s="58">
        <f t="shared" si="36"/>
        <v>0</v>
      </c>
      <c r="O112" s="217"/>
      <c r="P112" s="235"/>
      <c r="Q112" s="236"/>
      <c r="R112" s="237"/>
      <c r="S112" s="1">
        <f t="shared" si="30"/>
        <v>0</v>
      </c>
      <c r="T112" s="1"/>
      <c r="U112" s="1"/>
      <c r="V112" s="1"/>
      <c r="W112" s="1"/>
      <c r="X112" s="1"/>
      <c r="Y112" s="1"/>
      <c r="Z112" s="1"/>
      <c r="AA112" s="1"/>
      <c r="AB112" s="1"/>
      <c r="AD112" s="1"/>
      <c r="AE112" s="1"/>
      <c r="AF112" s="1"/>
      <c r="AG112" s="1"/>
      <c r="AH112" s="1"/>
      <c r="AI112" s="1"/>
      <c r="AJ112" s="1"/>
      <c r="AK112" s="1"/>
    </row>
    <row r="113" spans="1:37" s="3" customFormat="1" ht="39.950000000000003" customHeight="1" x14ac:dyDescent="0.25">
      <c r="A113" s="156">
        <v>1</v>
      </c>
      <c r="B113" s="156" t="s">
        <v>97</v>
      </c>
      <c r="C113" s="157" t="s">
        <v>231</v>
      </c>
      <c r="D113" s="158" t="s">
        <v>135</v>
      </c>
      <c r="E113" s="159">
        <v>4836.34</v>
      </c>
      <c r="F113" s="160">
        <v>9.43</v>
      </c>
      <c r="G113" s="161">
        <f t="shared" si="32"/>
        <v>45606.69</v>
      </c>
      <c r="H113" s="162">
        <f t="shared" si="33"/>
        <v>4836.34</v>
      </c>
      <c r="I113" s="161">
        <f t="shared" si="28"/>
        <v>45606.69</v>
      </c>
      <c r="J113" s="64"/>
      <c r="K113" s="136">
        <f t="shared" si="29"/>
        <v>0</v>
      </c>
      <c r="L113" s="163">
        <f t="shared" si="34"/>
        <v>0</v>
      </c>
      <c r="M113" s="161">
        <f t="shared" si="35"/>
        <v>0</v>
      </c>
      <c r="N113" s="58">
        <f t="shared" si="36"/>
        <v>1</v>
      </c>
      <c r="O113" s="217"/>
      <c r="P113" s="235">
        <v>584.5</v>
      </c>
      <c r="Q113" s="239">
        <f>P113*F113</f>
        <v>5511.84</v>
      </c>
      <c r="R113" s="237"/>
      <c r="S113" s="1">
        <f t="shared" si="30"/>
        <v>4836.34</v>
      </c>
      <c r="T113" s="1"/>
      <c r="U113" s="1"/>
      <c r="V113" s="1"/>
      <c r="W113" s="1"/>
      <c r="X113" s="1"/>
      <c r="Y113" s="1">
        <v>1139.72</v>
      </c>
      <c r="Z113" s="1">
        <v>787.75</v>
      </c>
      <c r="AA113" s="1">
        <v>1399.08</v>
      </c>
      <c r="AB113" s="1">
        <v>391.96</v>
      </c>
      <c r="AC113" s="3">
        <v>1117.83</v>
      </c>
      <c r="AD113" s="1"/>
      <c r="AE113" s="1"/>
      <c r="AF113" s="1"/>
      <c r="AG113" s="1"/>
      <c r="AH113" s="1"/>
      <c r="AI113" s="1"/>
      <c r="AJ113" s="1"/>
      <c r="AK113" s="1"/>
    </row>
    <row r="114" spans="1:37" s="3" customFormat="1" ht="39.950000000000003" customHeight="1" x14ac:dyDescent="0.25">
      <c r="A114" s="67">
        <v>1</v>
      </c>
      <c r="B114" s="67" t="s">
        <v>98</v>
      </c>
      <c r="C114" s="84" t="s">
        <v>232</v>
      </c>
      <c r="D114" s="77" t="s">
        <v>124</v>
      </c>
      <c r="E114" s="59">
        <v>899.71</v>
      </c>
      <c r="F114" s="52">
        <v>82.7</v>
      </c>
      <c r="G114" s="53">
        <f t="shared" si="32"/>
        <v>74406.02</v>
      </c>
      <c r="H114" s="54">
        <f t="shared" si="33"/>
        <v>0</v>
      </c>
      <c r="I114" s="53">
        <f t="shared" si="28"/>
        <v>0</v>
      </c>
      <c r="J114" s="64"/>
      <c r="K114" s="136">
        <f t="shared" si="29"/>
        <v>0</v>
      </c>
      <c r="L114" s="57">
        <f t="shared" si="34"/>
        <v>899.71</v>
      </c>
      <c r="M114" s="53">
        <f t="shared" si="35"/>
        <v>74406.02</v>
      </c>
      <c r="N114" s="58">
        <f t="shared" si="36"/>
        <v>0</v>
      </c>
      <c r="O114" s="217"/>
      <c r="P114" s="235"/>
      <c r="Q114" s="236"/>
      <c r="R114" s="237"/>
      <c r="S114" s="1">
        <f t="shared" si="30"/>
        <v>0</v>
      </c>
      <c r="T114" s="1"/>
      <c r="U114" s="1"/>
      <c r="V114" s="1"/>
      <c r="W114" s="1"/>
      <c r="X114" s="1"/>
      <c r="Y114" s="1"/>
      <c r="Z114" s="1"/>
      <c r="AA114" s="1"/>
      <c r="AB114" s="1"/>
      <c r="AD114" s="1"/>
      <c r="AE114" s="1"/>
      <c r="AF114" s="1"/>
      <c r="AG114" s="1"/>
      <c r="AH114" s="1"/>
      <c r="AI114" s="1"/>
      <c r="AJ114" s="1"/>
      <c r="AK114" s="1"/>
    </row>
    <row r="115" spans="1:37" s="3" customFormat="1" ht="39.950000000000003" customHeight="1" x14ac:dyDescent="0.25">
      <c r="A115" s="67">
        <v>1</v>
      </c>
      <c r="B115" s="67" t="s">
        <v>99</v>
      </c>
      <c r="C115" s="76" t="s">
        <v>233</v>
      </c>
      <c r="D115" s="77" t="s">
        <v>124</v>
      </c>
      <c r="E115" s="59">
        <v>1143.73</v>
      </c>
      <c r="F115" s="52">
        <v>56.44</v>
      </c>
      <c r="G115" s="53">
        <f t="shared" si="32"/>
        <v>64552.12</v>
      </c>
      <c r="H115" s="54">
        <f t="shared" si="33"/>
        <v>0</v>
      </c>
      <c r="I115" s="53">
        <f t="shared" si="28"/>
        <v>0</v>
      </c>
      <c r="J115" s="64"/>
      <c r="K115" s="136">
        <f t="shared" si="29"/>
        <v>0</v>
      </c>
      <c r="L115" s="57">
        <f t="shared" si="34"/>
        <v>1143.73</v>
      </c>
      <c r="M115" s="53">
        <f t="shared" si="35"/>
        <v>64552.12</v>
      </c>
      <c r="N115" s="58">
        <f t="shared" si="36"/>
        <v>0</v>
      </c>
      <c r="O115" s="217"/>
      <c r="P115" s="235"/>
      <c r="Q115" s="236"/>
      <c r="R115" s="237"/>
      <c r="S115" s="1">
        <f t="shared" si="30"/>
        <v>0</v>
      </c>
      <c r="T115" s="1"/>
      <c r="U115" s="1"/>
      <c r="V115" s="1"/>
      <c r="W115" s="1"/>
      <c r="X115" s="1"/>
      <c r="Y115" s="1"/>
      <c r="Z115" s="1"/>
      <c r="AA115" s="1"/>
      <c r="AB115" s="1"/>
      <c r="AD115" s="1"/>
      <c r="AE115" s="1"/>
      <c r="AF115" s="1"/>
      <c r="AG115" s="1"/>
      <c r="AH115" s="1"/>
      <c r="AI115" s="1"/>
      <c r="AJ115" s="1"/>
      <c r="AK115" s="1"/>
    </row>
    <row r="116" spans="1:37" s="3" customFormat="1" ht="39.950000000000003" customHeight="1" x14ac:dyDescent="0.25">
      <c r="A116" s="67">
        <v>1</v>
      </c>
      <c r="B116" s="67" t="s">
        <v>100</v>
      </c>
      <c r="C116" s="84" t="s">
        <v>234</v>
      </c>
      <c r="D116" s="77" t="s">
        <v>124</v>
      </c>
      <c r="E116" s="59">
        <v>993.62</v>
      </c>
      <c r="F116" s="52">
        <v>12</v>
      </c>
      <c r="G116" s="53">
        <f t="shared" si="32"/>
        <v>11923.44</v>
      </c>
      <c r="H116" s="54">
        <f t="shared" si="33"/>
        <v>0</v>
      </c>
      <c r="I116" s="53">
        <f t="shared" si="28"/>
        <v>0</v>
      </c>
      <c r="J116" s="64"/>
      <c r="K116" s="136">
        <f t="shared" si="29"/>
        <v>0</v>
      </c>
      <c r="L116" s="57">
        <f t="shared" si="34"/>
        <v>993.62</v>
      </c>
      <c r="M116" s="53">
        <f t="shared" si="35"/>
        <v>11923.44</v>
      </c>
      <c r="N116" s="58">
        <f t="shared" si="36"/>
        <v>0</v>
      </c>
      <c r="O116" s="217"/>
      <c r="P116" s="235"/>
      <c r="Q116" s="236"/>
      <c r="R116" s="237"/>
      <c r="S116" s="1">
        <f t="shared" si="30"/>
        <v>0</v>
      </c>
      <c r="T116" s="1"/>
      <c r="U116" s="1"/>
      <c r="V116" s="1"/>
      <c r="W116" s="1"/>
      <c r="X116" s="1"/>
      <c r="Y116" s="1"/>
      <c r="Z116" s="1"/>
      <c r="AA116" s="1"/>
      <c r="AB116" s="1"/>
      <c r="AD116" s="1"/>
      <c r="AE116" s="1"/>
      <c r="AF116" s="1"/>
      <c r="AG116" s="1"/>
      <c r="AH116" s="1"/>
      <c r="AI116" s="1"/>
      <c r="AJ116" s="1"/>
      <c r="AK116" s="1"/>
    </row>
    <row r="117" spans="1:37" s="3" customFormat="1" ht="39.950000000000003" customHeight="1" x14ac:dyDescent="0.25">
      <c r="A117" s="67">
        <v>1</v>
      </c>
      <c r="B117" s="67" t="s">
        <v>101</v>
      </c>
      <c r="C117" s="84" t="s">
        <v>235</v>
      </c>
      <c r="D117" s="77" t="s">
        <v>124</v>
      </c>
      <c r="E117" s="59">
        <v>1227.9100000000001</v>
      </c>
      <c r="F117" s="52">
        <v>66.08</v>
      </c>
      <c r="G117" s="53">
        <f t="shared" si="32"/>
        <v>81140.289999999994</v>
      </c>
      <c r="H117" s="54">
        <f t="shared" si="33"/>
        <v>0</v>
      </c>
      <c r="I117" s="53">
        <f t="shared" si="28"/>
        <v>0</v>
      </c>
      <c r="J117" s="64"/>
      <c r="K117" s="136">
        <f t="shared" si="29"/>
        <v>0</v>
      </c>
      <c r="L117" s="57">
        <f t="shared" si="34"/>
        <v>1227.9100000000001</v>
      </c>
      <c r="M117" s="53">
        <f t="shared" si="35"/>
        <v>81140.289999999994</v>
      </c>
      <c r="N117" s="58">
        <f t="shared" si="36"/>
        <v>0</v>
      </c>
      <c r="O117" s="217"/>
      <c r="P117" s="235"/>
      <c r="Q117" s="236"/>
      <c r="R117" s="237"/>
      <c r="S117" s="1">
        <f t="shared" si="30"/>
        <v>0</v>
      </c>
      <c r="T117" s="1"/>
      <c r="U117" s="1"/>
      <c r="V117" s="1"/>
      <c r="W117" s="1"/>
      <c r="X117" s="1"/>
      <c r="Y117" s="1"/>
      <c r="Z117" s="1"/>
      <c r="AA117" s="1"/>
      <c r="AB117" s="1"/>
      <c r="AD117" s="1"/>
      <c r="AE117" s="1"/>
      <c r="AF117" s="1"/>
      <c r="AG117" s="1"/>
      <c r="AH117" s="1"/>
      <c r="AI117" s="1"/>
      <c r="AJ117" s="1"/>
      <c r="AK117" s="1"/>
    </row>
    <row r="118" spans="1:37" s="3" customFormat="1" ht="39.950000000000003" customHeight="1" x14ac:dyDescent="0.25">
      <c r="A118" s="67">
        <v>1</v>
      </c>
      <c r="B118" s="67" t="s">
        <v>264</v>
      </c>
      <c r="C118" s="76" t="s">
        <v>236</v>
      </c>
      <c r="D118" s="77" t="s">
        <v>135</v>
      </c>
      <c r="E118" s="59">
        <v>271.83</v>
      </c>
      <c r="F118" s="52">
        <v>131.25</v>
      </c>
      <c r="G118" s="53">
        <f t="shared" si="32"/>
        <v>35677.69</v>
      </c>
      <c r="H118" s="54">
        <f t="shared" si="33"/>
        <v>262.64999999999998</v>
      </c>
      <c r="I118" s="53">
        <f t="shared" si="28"/>
        <v>34472.81</v>
      </c>
      <c r="J118" s="64">
        <v>13.34</v>
      </c>
      <c r="K118" s="136">
        <f t="shared" si="29"/>
        <v>1750.88</v>
      </c>
      <c r="L118" s="57">
        <f t="shared" si="34"/>
        <v>9.18</v>
      </c>
      <c r="M118" s="53">
        <f t="shared" si="35"/>
        <v>1204.8800000000001</v>
      </c>
      <c r="N118" s="58">
        <f t="shared" si="36"/>
        <v>0.96623000000000003</v>
      </c>
      <c r="O118" s="217"/>
      <c r="P118" s="235"/>
      <c r="Q118" s="236"/>
      <c r="R118" s="237"/>
      <c r="S118" s="1">
        <f t="shared" si="30"/>
        <v>249.31</v>
      </c>
      <c r="T118" s="1"/>
      <c r="U118" s="1"/>
      <c r="V118" s="1"/>
      <c r="W118" s="1"/>
      <c r="X118" s="1"/>
      <c r="Y118" s="1">
        <v>21.39</v>
      </c>
      <c r="Z118" s="1">
        <v>40.049999999999997</v>
      </c>
      <c r="AA118" s="1">
        <v>39.6</v>
      </c>
      <c r="AB118" s="1">
        <v>28.93</v>
      </c>
      <c r="AC118" s="3">
        <v>90.22</v>
      </c>
      <c r="AD118" s="1">
        <v>8.11</v>
      </c>
      <c r="AE118" s="1">
        <v>21.01</v>
      </c>
      <c r="AF118" s="1"/>
      <c r="AG118" s="1"/>
      <c r="AH118" s="1"/>
      <c r="AI118" s="1"/>
      <c r="AJ118" s="1"/>
      <c r="AK118" s="1"/>
    </row>
    <row r="119" spans="1:37" s="3" customFormat="1" ht="39.950000000000003" customHeight="1" x14ac:dyDescent="0.25">
      <c r="A119" s="67">
        <v>1</v>
      </c>
      <c r="B119" s="67" t="s">
        <v>265</v>
      </c>
      <c r="C119" s="84" t="s">
        <v>237</v>
      </c>
      <c r="D119" s="77" t="s">
        <v>42</v>
      </c>
      <c r="E119" s="51">
        <v>672</v>
      </c>
      <c r="F119" s="52">
        <v>104.73</v>
      </c>
      <c r="G119" s="53">
        <f t="shared" si="32"/>
        <v>70378.559999999998</v>
      </c>
      <c r="H119" s="54">
        <f t="shared" si="33"/>
        <v>645.16</v>
      </c>
      <c r="I119" s="53">
        <f t="shared" si="28"/>
        <v>67567.61</v>
      </c>
      <c r="J119" s="64">
        <f>645.16-572.96</f>
        <v>72.2</v>
      </c>
      <c r="K119" s="136">
        <f t="shared" si="29"/>
        <v>7561.51</v>
      </c>
      <c r="L119" s="57">
        <f t="shared" si="34"/>
        <v>26.84</v>
      </c>
      <c r="M119" s="53">
        <f t="shared" si="35"/>
        <v>2810.95</v>
      </c>
      <c r="N119" s="58">
        <f t="shared" si="36"/>
        <v>0.96006000000000002</v>
      </c>
      <c r="O119" s="217"/>
      <c r="P119" s="235"/>
      <c r="Q119" s="236"/>
      <c r="R119" s="237"/>
      <c r="S119" s="1">
        <f t="shared" si="30"/>
        <v>572.96</v>
      </c>
      <c r="T119" s="1"/>
      <c r="U119" s="1"/>
      <c r="V119" s="1"/>
      <c r="W119" s="1"/>
      <c r="X119" s="1"/>
      <c r="Y119" s="1">
        <v>83.6</v>
      </c>
      <c r="Z119" s="1">
        <v>73.430000000000007</v>
      </c>
      <c r="AA119" s="1">
        <v>126.22</v>
      </c>
      <c r="AB119" s="1">
        <v>57.21</v>
      </c>
      <c r="AC119" s="3">
        <v>195</v>
      </c>
      <c r="AD119" s="1"/>
      <c r="AE119" s="1">
        <v>37.5</v>
      </c>
      <c r="AF119" s="1"/>
      <c r="AG119" s="1"/>
      <c r="AH119" s="1"/>
      <c r="AI119" s="1"/>
      <c r="AJ119" s="1"/>
      <c r="AK119" s="1"/>
    </row>
    <row r="120" spans="1:37" s="3" customFormat="1" ht="39.950000000000003" customHeight="1" x14ac:dyDescent="0.25">
      <c r="A120" s="67">
        <v>1</v>
      </c>
      <c r="B120" s="67" t="s">
        <v>266</v>
      </c>
      <c r="C120" s="84" t="s">
        <v>238</v>
      </c>
      <c r="D120" s="77" t="s">
        <v>42</v>
      </c>
      <c r="E120" s="51">
        <v>411</v>
      </c>
      <c r="F120" s="52">
        <v>137.22</v>
      </c>
      <c r="G120" s="61">
        <f t="shared" si="32"/>
        <v>56397.42</v>
      </c>
      <c r="H120" s="54">
        <f t="shared" si="33"/>
        <v>411</v>
      </c>
      <c r="I120" s="53">
        <f t="shared" si="28"/>
        <v>56397.42</v>
      </c>
      <c r="J120" s="64">
        <f>420.58-405.58-9.58</f>
        <v>5.42</v>
      </c>
      <c r="K120" s="136">
        <f t="shared" si="29"/>
        <v>743.73</v>
      </c>
      <c r="L120" s="57">
        <f t="shared" si="34"/>
        <v>0</v>
      </c>
      <c r="M120" s="61">
        <f t="shared" si="35"/>
        <v>0</v>
      </c>
      <c r="N120" s="226">
        <f t="shared" si="36"/>
        <v>1</v>
      </c>
      <c r="O120" s="217"/>
      <c r="P120" s="235"/>
      <c r="Q120" s="236"/>
      <c r="R120" s="237"/>
      <c r="S120" s="1">
        <f t="shared" si="30"/>
        <v>405.58</v>
      </c>
      <c r="T120" s="1"/>
      <c r="U120" s="1"/>
      <c r="V120" s="1"/>
      <c r="W120" s="1"/>
      <c r="X120" s="1"/>
      <c r="Y120" s="1">
        <v>26.8</v>
      </c>
      <c r="Z120" s="1">
        <v>55.4</v>
      </c>
      <c r="AA120" s="1">
        <v>69.48</v>
      </c>
      <c r="AB120" s="1">
        <v>54.18</v>
      </c>
      <c r="AC120" s="3">
        <v>153.62</v>
      </c>
      <c r="AD120" s="1"/>
      <c r="AE120" s="1">
        <v>46.1</v>
      </c>
      <c r="AF120" s="1"/>
      <c r="AG120" s="1"/>
      <c r="AH120" s="1"/>
      <c r="AI120" s="1"/>
      <c r="AJ120" s="1"/>
      <c r="AK120" s="1"/>
    </row>
    <row r="121" spans="1:37" s="3" customFormat="1" ht="39.950000000000003" customHeight="1" x14ac:dyDescent="0.25">
      <c r="A121" s="67">
        <v>1</v>
      </c>
      <c r="B121" s="83" t="s">
        <v>267</v>
      </c>
      <c r="C121" s="84" t="s">
        <v>239</v>
      </c>
      <c r="D121" s="77" t="s">
        <v>42</v>
      </c>
      <c r="E121" s="51">
        <v>409</v>
      </c>
      <c r="F121" s="52">
        <v>153.97</v>
      </c>
      <c r="G121" s="85">
        <f t="shared" ref="G121:G136" si="38">ROUND(F121*E121,2)</f>
        <v>62973.73</v>
      </c>
      <c r="H121" s="54">
        <f t="shared" si="33"/>
        <v>107.83</v>
      </c>
      <c r="I121" s="53">
        <f t="shared" si="28"/>
        <v>16602.59</v>
      </c>
      <c r="J121" s="64">
        <f>107.83-85.33</f>
        <v>22.5</v>
      </c>
      <c r="K121" s="136">
        <f t="shared" si="29"/>
        <v>3464.33</v>
      </c>
      <c r="L121" s="57">
        <f t="shared" si="34"/>
        <v>301.17</v>
      </c>
      <c r="M121" s="61">
        <f t="shared" si="35"/>
        <v>46371.14</v>
      </c>
      <c r="N121" s="58">
        <f t="shared" si="36"/>
        <v>0.26363999999999999</v>
      </c>
      <c r="O121" s="217"/>
      <c r="P121" s="235"/>
      <c r="Q121" s="236"/>
      <c r="R121" s="237"/>
      <c r="S121" s="1">
        <f t="shared" si="30"/>
        <v>85.33</v>
      </c>
      <c r="T121" s="1"/>
      <c r="U121" s="1"/>
      <c r="V121" s="1"/>
      <c r="W121" s="1"/>
      <c r="X121" s="1"/>
      <c r="Y121" s="1">
        <v>24</v>
      </c>
      <c r="Z121" s="1"/>
      <c r="AA121" s="1"/>
      <c r="AB121" s="1"/>
      <c r="AC121" s="3">
        <v>61.33</v>
      </c>
      <c r="AD121" s="1"/>
      <c r="AE121" s="1"/>
      <c r="AF121" s="1"/>
      <c r="AG121" s="1"/>
      <c r="AH121" s="1"/>
      <c r="AI121" s="1"/>
      <c r="AJ121" s="1"/>
      <c r="AK121" s="1"/>
    </row>
    <row r="122" spans="1:37" s="3" customFormat="1" ht="39.950000000000003" customHeight="1" x14ac:dyDescent="0.25">
      <c r="A122" s="156">
        <v>1</v>
      </c>
      <c r="B122" s="192" t="s">
        <v>268</v>
      </c>
      <c r="C122" s="193" t="s">
        <v>240</v>
      </c>
      <c r="D122" s="158" t="s">
        <v>42</v>
      </c>
      <c r="E122" s="159">
        <v>44</v>
      </c>
      <c r="F122" s="160">
        <v>258.39999999999998</v>
      </c>
      <c r="G122" s="215">
        <f t="shared" si="38"/>
        <v>11369.6</v>
      </c>
      <c r="H122" s="162">
        <f t="shared" si="33"/>
        <v>44</v>
      </c>
      <c r="I122" s="161">
        <f t="shared" si="28"/>
        <v>11369.6</v>
      </c>
      <c r="J122" s="64"/>
      <c r="K122" s="136">
        <f t="shared" si="29"/>
        <v>0</v>
      </c>
      <c r="L122" s="163">
        <f t="shared" si="34"/>
        <v>0</v>
      </c>
      <c r="M122" s="161">
        <f t="shared" si="35"/>
        <v>0</v>
      </c>
      <c r="N122" s="226">
        <f t="shared" si="36"/>
        <v>1</v>
      </c>
      <c r="O122" s="217"/>
      <c r="P122" s="235">
        <f>37.22-14.11</f>
        <v>23.11</v>
      </c>
      <c r="Q122" s="239">
        <f>P122*F122</f>
        <v>5971.62</v>
      </c>
      <c r="R122" s="237"/>
      <c r="S122" s="1">
        <f t="shared" si="30"/>
        <v>44</v>
      </c>
      <c r="T122" s="1"/>
      <c r="U122" s="1"/>
      <c r="V122" s="1"/>
      <c r="W122" s="1"/>
      <c r="X122" s="1"/>
      <c r="Y122" s="1"/>
      <c r="Z122" s="1">
        <v>29.89</v>
      </c>
      <c r="AA122" s="1"/>
      <c r="AB122" s="1"/>
      <c r="AC122" s="3">
        <v>14.11</v>
      </c>
      <c r="AD122" s="1"/>
      <c r="AE122" s="1"/>
      <c r="AF122" s="1"/>
      <c r="AG122" s="1"/>
      <c r="AH122" s="1"/>
      <c r="AI122" s="1"/>
      <c r="AJ122" s="1"/>
      <c r="AK122" s="1"/>
    </row>
    <row r="123" spans="1:37" s="3" customFormat="1" ht="39.950000000000003" customHeight="1" x14ac:dyDescent="0.25">
      <c r="A123" s="156">
        <v>1</v>
      </c>
      <c r="B123" s="192" t="s">
        <v>269</v>
      </c>
      <c r="C123" s="193" t="s">
        <v>241</v>
      </c>
      <c r="D123" s="158" t="s">
        <v>42</v>
      </c>
      <c r="E123" s="159">
        <v>28</v>
      </c>
      <c r="F123" s="160">
        <v>354.21</v>
      </c>
      <c r="G123" s="215">
        <f t="shared" si="38"/>
        <v>9917.8799999999992</v>
      </c>
      <c r="H123" s="162">
        <f t="shared" si="33"/>
        <v>28</v>
      </c>
      <c r="I123" s="161">
        <f t="shared" si="28"/>
        <v>9917.8799999999992</v>
      </c>
      <c r="J123" s="64"/>
      <c r="K123" s="136">
        <f t="shared" si="29"/>
        <v>0</v>
      </c>
      <c r="L123" s="163">
        <f t="shared" si="34"/>
        <v>0</v>
      </c>
      <c r="M123" s="161">
        <f t="shared" si="35"/>
        <v>0</v>
      </c>
      <c r="N123" s="164">
        <f t="shared" si="36"/>
        <v>1</v>
      </c>
      <c r="O123" s="217"/>
      <c r="P123" s="235">
        <f>4.45+11.71</f>
        <v>16.16</v>
      </c>
      <c r="Q123" s="239">
        <f>P123*F123</f>
        <v>5724.03</v>
      </c>
      <c r="R123" s="237"/>
      <c r="S123" s="1">
        <f t="shared" si="30"/>
        <v>28</v>
      </c>
      <c r="T123" s="1"/>
      <c r="U123" s="1"/>
      <c r="V123" s="1"/>
      <c r="W123" s="1"/>
      <c r="X123" s="1"/>
      <c r="Y123" s="1"/>
      <c r="Z123" s="1">
        <v>19.98</v>
      </c>
      <c r="AA123" s="1">
        <v>8.02</v>
      </c>
      <c r="AB123" s="1"/>
      <c r="AD123" s="1"/>
      <c r="AE123" s="1"/>
      <c r="AF123" s="1"/>
      <c r="AG123" s="1"/>
      <c r="AH123" s="1"/>
      <c r="AI123" s="1"/>
      <c r="AJ123" s="1"/>
      <c r="AK123" s="1"/>
    </row>
    <row r="124" spans="1:37" s="3" customFormat="1" ht="39.950000000000003" customHeight="1" x14ac:dyDescent="0.25">
      <c r="A124" s="67">
        <v>1</v>
      </c>
      <c r="B124" s="83" t="s">
        <v>270</v>
      </c>
      <c r="C124" s="49" t="s">
        <v>242</v>
      </c>
      <c r="D124" s="50" t="s">
        <v>42</v>
      </c>
      <c r="E124" s="51">
        <v>31</v>
      </c>
      <c r="F124" s="52">
        <v>821.25</v>
      </c>
      <c r="G124" s="85">
        <f t="shared" si="38"/>
        <v>25458.75</v>
      </c>
      <c r="H124" s="54">
        <f t="shared" si="33"/>
        <v>0</v>
      </c>
      <c r="I124" s="55">
        <f t="shared" si="28"/>
        <v>0</v>
      </c>
      <c r="J124" s="64"/>
      <c r="K124" s="134">
        <f t="shared" si="29"/>
        <v>0</v>
      </c>
      <c r="L124" s="57">
        <f t="shared" si="34"/>
        <v>31</v>
      </c>
      <c r="M124" s="53">
        <f t="shared" si="35"/>
        <v>25458.75</v>
      </c>
      <c r="N124" s="58">
        <f t="shared" si="36"/>
        <v>0</v>
      </c>
      <c r="O124" s="217"/>
      <c r="P124" s="235"/>
      <c r="Q124" s="236"/>
      <c r="R124" s="237"/>
      <c r="S124" s="1">
        <f t="shared" si="30"/>
        <v>0</v>
      </c>
      <c r="T124" s="1"/>
      <c r="U124" s="1"/>
      <c r="V124" s="1"/>
      <c r="W124" s="1"/>
      <c r="X124" s="1"/>
      <c r="Y124" s="1"/>
      <c r="Z124" s="1"/>
      <c r="AA124" s="1"/>
      <c r="AB124" s="1"/>
      <c r="AD124" s="1"/>
      <c r="AE124" s="1"/>
      <c r="AF124" s="1"/>
      <c r="AG124" s="1"/>
      <c r="AH124" s="1"/>
      <c r="AI124" s="1"/>
      <c r="AJ124" s="1"/>
      <c r="AK124" s="1"/>
    </row>
    <row r="125" spans="1:37" s="3" customFormat="1" ht="39.950000000000003" customHeight="1" x14ac:dyDescent="0.25">
      <c r="A125" s="67">
        <v>1</v>
      </c>
      <c r="B125" s="83" t="s">
        <v>271</v>
      </c>
      <c r="C125" s="86" t="s">
        <v>243</v>
      </c>
      <c r="D125" s="87" t="s">
        <v>135</v>
      </c>
      <c r="E125" s="88">
        <v>176.9</v>
      </c>
      <c r="F125" s="52">
        <v>41.72</v>
      </c>
      <c r="G125" s="85">
        <f t="shared" si="38"/>
        <v>7380.27</v>
      </c>
      <c r="H125" s="54">
        <f t="shared" si="33"/>
        <v>1.76</v>
      </c>
      <c r="I125" s="53">
        <f t="shared" si="28"/>
        <v>73.430000000000007</v>
      </c>
      <c r="J125" s="64"/>
      <c r="K125" s="136">
        <f t="shared" si="29"/>
        <v>0</v>
      </c>
      <c r="L125" s="57">
        <f t="shared" si="34"/>
        <v>175.14</v>
      </c>
      <c r="M125" s="53">
        <f t="shared" si="35"/>
        <v>7306.84</v>
      </c>
      <c r="N125" s="58">
        <f t="shared" si="36"/>
        <v>9.9500000000000005E-3</v>
      </c>
      <c r="O125" s="217"/>
      <c r="P125" s="235"/>
      <c r="Q125" s="236"/>
      <c r="R125" s="237"/>
      <c r="S125" s="1">
        <f t="shared" si="30"/>
        <v>1.76</v>
      </c>
      <c r="T125" s="1"/>
      <c r="U125" s="1"/>
      <c r="V125" s="1"/>
      <c r="W125" s="1"/>
      <c r="X125" s="1"/>
      <c r="Y125" s="1"/>
      <c r="Z125" s="1">
        <v>1.76</v>
      </c>
      <c r="AA125" s="1"/>
      <c r="AB125" s="1"/>
      <c r="AD125" s="1"/>
      <c r="AE125" s="1"/>
      <c r="AF125" s="1"/>
      <c r="AG125" s="1"/>
      <c r="AH125" s="1"/>
      <c r="AI125" s="1"/>
      <c r="AJ125" s="1"/>
      <c r="AK125" s="1"/>
    </row>
    <row r="126" spans="1:37" s="3" customFormat="1" ht="45.75" customHeight="1" x14ac:dyDescent="0.25">
      <c r="A126" s="67">
        <v>1</v>
      </c>
      <c r="B126" s="83" t="s">
        <v>272</v>
      </c>
      <c r="C126" s="86" t="s">
        <v>244</v>
      </c>
      <c r="D126" s="87" t="s">
        <v>135</v>
      </c>
      <c r="E126" s="88">
        <v>2.81</v>
      </c>
      <c r="F126" s="52">
        <v>318.11</v>
      </c>
      <c r="G126" s="85">
        <f t="shared" si="38"/>
        <v>893.89</v>
      </c>
      <c r="H126" s="54">
        <f t="shared" si="33"/>
        <v>0.1</v>
      </c>
      <c r="I126" s="53">
        <f t="shared" si="28"/>
        <v>31.81</v>
      </c>
      <c r="J126" s="64"/>
      <c r="K126" s="136">
        <f t="shared" si="29"/>
        <v>0</v>
      </c>
      <c r="L126" s="57">
        <f t="shared" si="34"/>
        <v>2.71</v>
      </c>
      <c r="M126" s="53">
        <f t="shared" si="35"/>
        <v>862.08</v>
      </c>
      <c r="N126" s="58">
        <f t="shared" si="36"/>
        <v>3.5589999999999997E-2</v>
      </c>
      <c r="O126" s="217"/>
      <c r="P126" s="235"/>
      <c r="Q126" s="236"/>
      <c r="R126" s="237"/>
      <c r="S126" s="1">
        <f t="shared" si="30"/>
        <v>0.1</v>
      </c>
      <c r="T126" s="1"/>
      <c r="U126" s="1"/>
      <c r="V126" s="1"/>
      <c r="W126" s="1"/>
      <c r="X126" s="1"/>
      <c r="Y126" s="1"/>
      <c r="Z126" s="1">
        <v>0.1</v>
      </c>
      <c r="AA126" s="1"/>
      <c r="AB126" s="1"/>
      <c r="AD126" s="1"/>
      <c r="AE126" s="1"/>
      <c r="AF126" s="1"/>
      <c r="AG126" s="1"/>
      <c r="AH126" s="1"/>
      <c r="AI126" s="1"/>
      <c r="AJ126" s="1"/>
      <c r="AK126" s="1"/>
    </row>
    <row r="127" spans="1:37" s="3" customFormat="1" ht="50.25" customHeight="1" x14ac:dyDescent="0.25">
      <c r="A127" s="67">
        <v>1</v>
      </c>
      <c r="B127" s="83" t="s">
        <v>273</v>
      </c>
      <c r="C127" s="86" t="s">
        <v>245</v>
      </c>
      <c r="D127" s="87" t="s">
        <v>124</v>
      </c>
      <c r="E127" s="88">
        <v>237.6</v>
      </c>
      <c r="F127" s="52">
        <v>258.37</v>
      </c>
      <c r="G127" s="85">
        <f t="shared" si="38"/>
        <v>61388.71</v>
      </c>
      <c r="H127" s="54">
        <f t="shared" si="33"/>
        <v>1.76</v>
      </c>
      <c r="I127" s="53">
        <f t="shared" si="28"/>
        <v>454.73</v>
      </c>
      <c r="J127" s="64"/>
      <c r="K127" s="136">
        <f t="shared" si="29"/>
        <v>0</v>
      </c>
      <c r="L127" s="57">
        <f t="shared" si="34"/>
        <v>235.84</v>
      </c>
      <c r="M127" s="53">
        <f t="shared" si="35"/>
        <v>60933.98</v>
      </c>
      <c r="N127" s="58">
        <f t="shared" si="36"/>
        <v>7.4099999999999999E-3</v>
      </c>
      <c r="O127" s="217"/>
      <c r="P127" s="235"/>
      <c r="Q127" s="236"/>
      <c r="R127" s="237"/>
      <c r="S127" s="1">
        <f t="shared" si="30"/>
        <v>1.76</v>
      </c>
      <c r="T127" s="1"/>
      <c r="U127" s="1"/>
      <c r="V127" s="1"/>
      <c r="W127" s="1"/>
      <c r="X127" s="1"/>
      <c r="Y127" s="1"/>
      <c r="Z127" s="1">
        <v>1.76</v>
      </c>
      <c r="AA127" s="1"/>
      <c r="AB127" s="1"/>
      <c r="AD127" s="1"/>
      <c r="AE127" s="1"/>
      <c r="AF127" s="1"/>
      <c r="AG127" s="1"/>
      <c r="AH127" s="1"/>
      <c r="AI127" s="1"/>
      <c r="AJ127" s="1"/>
      <c r="AK127" s="1"/>
    </row>
    <row r="128" spans="1:37" s="3" customFormat="1" ht="39.950000000000003" customHeight="1" x14ac:dyDescent="0.25">
      <c r="A128" s="67">
        <v>1</v>
      </c>
      <c r="B128" s="83" t="s">
        <v>274</v>
      </c>
      <c r="C128" s="86" t="s">
        <v>246</v>
      </c>
      <c r="D128" s="87" t="s">
        <v>124</v>
      </c>
      <c r="E128" s="88">
        <v>56.16</v>
      </c>
      <c r="F128" s="52">
        <v>159.01</v>
      </c>
      <c r="G128" s="85">
        <f t="shared" si="38"/>
        <v>8930</v>
      </c>
      <c r="H128" s="54">
        <f t="shared" si="33"/>
        <v>1</v>
      </c>
      <c r="I128" s="53">
        <f t="shared" si="28"/>
        <v>159.01</v>
      </c>
      <c r="J128" s="64"/>
      <c r="K128" s="136">
        <f t="shared" si="29"/>
        <v>0</v>
      </c>
      <c r="L128" s="57">
        <f t="shared" si="34"/>
        <v>55.16</v>
      </c>
      <c r="M128" s="53">
        <f t="shared" si="35"/>
        <v>8770.99</v>
      </c>
      <c r="N128" s="58">
        <f t="shared" si="36"/>
        <v>1.7809999999999999E-2</v>
      </c>
      <c r="O128" s="217"/>
      <c r="P128" s="235"/>
      <c r="Q128" s="236"/>
      <c r="R128" s="237"/>
      <c r="S128" s="1">
        <f t="shared" si="30"/>
        <v>1</v>
      </c>
      <c r="T128" s="1"/>
      <c r="U128" s="1"/>
      <c r="V128" s="1"/>
      <c r="W128" s="1"/>
      <c r="X128" s="1"/>
      <c r="Y128" s="1"/>
      <c r="Z128" s="1">
        <v>1</v>
      </c>
      <c r="AA128" s="1"/>
      <c r="AB128" s="1"/>
      <c r="AD128" s="1"/>
      <c r="AE128" s="1"/>
      <c r="AF128" s="1"/>
      <c r="AG128" s="1"/>
      <c r="AH128" s="1"/>
      <c r="AI128" s="1"/>
      <c r="AJ128" s="1"/>
      <c r="AK128" s="1"/>
    </row>
    <row r="129" spans="1:37" s="3" customFormat="1" ht="39.950000000000003" customHeight="1" x14ac:dyDescent="0.25">
      <c r="A129" s="67">
        <v>1</v>
      </c>
      <c r="B129" s="83" t="s">
        <v>275</v>
      </c>
      <c r="C129" s="86" t="s">
        <v>247</v>
      </c>
      <c r="D129" s="87" t="s">
        <v>42</v>
      </c>
      <c r="E129" s="88">
        <v>31.6</v>
      </c>
      <c r="F129" s="52">
        <v>3538.11</v>
      </c>
      <c r="G129" s="85">
        <f t="shared" si="38"/>
        <v>111804.28</v>
      </c>
      <c r="H129" s="54">
        <f t="shared" si="33"/>
        <v>9.77</v>
      </c>
      <c r="I129" s="53">
        <f t="shared" si="28"/>
        <v>34567.33</v>
      </c>
      <c r="J129" s="64">
        <v>7.0000000000000007E-2</v>
      </c>
      <c r="K129" s="136">
        <f t="shared" si="29"/>
        <v>247.67</v>
      </c>
      <c r="L129" s="57">
        <f t="shared" si="34"/>
        <v>21.83</v>
      </c>
      <c r="M129" s="53">
        <f t="shared" si="35"/>
        <v>77236.94</v>
      </c>
      <c r="N129" s="58">
        <f t="shared" si="36"/>
        <v>0.30918000000000001</v>
      </c>
      <c r="O129" s="217"/>
      <c r="P129" s="235"/>
      <c r="Q129" s="236"/>
      <c r="R129" s="237"/>
      <c r="S129" s="1">
        <f t="shared" si="30"/>
        <v>9.6999999999999993</v>
      </c>
      <c r="T129" s="1"/>
      <c r="U129" s="1"/>
      <c r="V129" s="1"/>
      <c r="W129" s="1"/>
      <c r="X129" s="1"/>
      <c r="Y129" s="1"/>
      <c r="Z129" s="1"/>
      <c r="AA129" s="1"/>
      <c r="AB129" s="1">
        <v>6.5</v>
      </c>
      <c r="AC129" s="3">
        <v>2.2000000000000002</v>
      </c>
      <c r="AD129" s="1"/>
      <c r="AE129" s="1">
        <v>1</v>
      </c>
      <c r="AF129" s="1"/>
      <c r="AG129" s="1"/>
      <c r="AH129" s="1"/>
      <c r="AI129" s="1"/>
      <c r="AJ129" s="1"/>
      <c r="AK129" s="1"/>
    </row>
    <row r="130" spans="1:37" s="3" customFormat="1" ht="39.950000000000003" customHeight="1" x14ac:dyDescent="0.25">
      <c r="A130" s="67">
        <v>1</v>
      </c>
      <c r="B130" s="83" t="s">
        <v>276</v>
      </c>
      <c r="C130" s="86" t="s">
        <v>248</v>
      </c>
      <c r="D130" s="87" t="s">
        <v>42</v>
      </c>
      <c r="E130" s="88">
        <v>41.9</v>
      </c>
      <c r="F130" s="52">
        <v>2860.55</v>
      </c>
      <c r="G130" s="85">
        <f t="shared" si="38"/>
        <v>119857.05</v>
      </c>
      <c r="H130" s="54">
        <f t="shared" si="33"/>
        <v>7.2</v>
      </c>
      <c r="I130" s="53">
        <f t="shared" si="28"/>
        <v>20595.96</v>
      </c>
      <c r="J130" s="64"/>
      <c r="K130" s="136">
        <f t="shared" si="29"/>
        <v>0</v>
      </c>
      <c r="L130" s="57">
        <f t="shared" si="34"/>
        <v>34.700000000000003</v>
      </c>
      <c r="M130" s="53">
        <f t="shared" si="35"/>
        <v>99261.09</v>
      </c>
      <c r="N130" s="58">
        <f t="shared" si="36"/>
        <v>0.17183999999999999</v>
      </c>
      <c r="O130" s="217"/>
      <c r="P130" s="235"/>
      <c r="Q130" s="236"/>
      <c r="R130" s="237"/>
      <c r="S130" s="1">
        <f t="shared" si="30"/>
        <v>7.2</v>
      </c>
      <c r="T130" s="1"/>
      <c r="U130" s="1"/>
      <c r="V130" s="1"/>
      <c r="W130" s="1"/>
      <c r="X130" s="1"/>
      <c r="Y130" s="1"/>
      <c r="Z130" s="1">
        <v>2.2999999999999998</v>
      </c>
      <c r="AA130" s="1"/>
      <c r="AB130" s="1"/>
      <c r="AC130" s="3">
        <v>4.9000000000000004</v>
      </c>
      <c r="AD130" s="1"/>
      <c r="AE130" s="1"/>
      <c r="AF130" s="1"/>
      <c r="AG130" s="1"/>
      <c r="AH130" s="1"/>
      <c r="AI130" s="1"/>
      <c r="AJ130" s="1"/>
      <c r="AK130" s="1"/>
    </row>
    <row r="131" spans="1:37" s="3" customFormat="1" ht="39.950000000000003" customHeight="1" x14ac:dyDescent="0.25">
      <c r="A131" s="67">
        <v>1</v>
      </c>
      <c r="B131" s="83" t="s">
        <v>277</v>
      </c>
      <c r="C131" s="86" t="s">
        <v>249</v>
      </c>
      <c r="D131" s="87" t="s">
        <v>42</v>
      </c>
      <c r="E131" s="88">
        <v>44.8</v>
      </c>
      <c r="F131" s="52">
        <v>3510.31</v>
      </c>
      <c r="G131" s="85">
        <f t="shared" si="38"/>
        <v>157261.89000000001</v>
      </c>
      <c r="H131" s="54">
        <f t="shared" si="33"/>
        <v>2.5</v>
      </c>
      <c r="I131" s="53">
        <f t="shared" si="28"/>
        <v>8775.7800000000007</v>
      </c>
      <c r="J131" s="64">
        <v>0.3</v>
      </c>
      <c r="K131" s="136">
        <f t="shared" si="29"/>
        <v>1053.0899999999999</v>
      </c>
      <c r="L131" s="57">
        <f t="shared" si="34"/>
        <v>42.3</v>
      </c>
      <c r="M131" s="53">
        <f t="shared" si="35"/>
        <v>148486.10999999999</v>
      </c>
      <c r="N131" s="58">
        <f t="shared" si="36"/>
        <v>5.5800000000000002E-2</v>
      </c>
      <c r="O131" s="217"/>
      <c r="P131" s="235"/>
      <c r="Q131" s="236"/>
      <c r="R131" s="237"/>
      <c r="S131" s="1">
        <f t="shared" si="30"/>
        <v>2.2000000000000002</v>
      </c>
      <c r="T131" s="1"/>
      <c r="U131" s="1"/>
      <c r="V131" s="1"/>
      <c r="W131" s="1"/>
      <c r="X131" s="1"/>
      <c r="Y131" s="1"/>
      <c r="Z131" s="1"/>
      <c r="AA131" s="1"/>
      <c r="AB131" s="1"/>
      <c r="AC131" s="3">
        <v>2.2000000000000002</v>
      </c>
      <c r="AD131" s="1"/>
      <c r="AE131" s="1"/>
      <c r="AF131" s="1"/>
      <c r="AG131" s="1"/>
      <c r="AH131" s="1"/>
      <c r="AI131" s="1"/>
      <c r="AJ131" s="1"/>
      <c r="AK131" s="1"/>
    </row>
    <row r="132" spans="1:37" s="3" customFormat="1" ht="39.950000000000003" customHeight="1" x14ac:dyDescent="0.25">
      <c r="A132" s="182">
        <v>1</v>
      </c>
      <c r="B132" s="183" t="s">
        <v>278</v>
      </c>
      <c r="C132" s="184" t="s">
        <v>250</v>
      </c>
      <c r="D132" s="185" t="s">
        <v>42</v>
      </c>
      <c r="E132" s="186">
        <v>31.4</v>
      </c>
      <c r="F132" s="178">
        <v>4466.3900000000003</v>
      </c>
      <c r="G132" s="187">
        <f t="shared" si="38"/>
        <v>140244.65</v>
      </c>
      <c r="H132" s="180">
        <f t="shared" si="33"/>
        <v>0</v>
      </c>
      <c r="I132" s="179">
        <f t="shared" si="28"/>
        <v>0</v>
      </c>
      <c r="J132" s="64"/>
      <c r="K132" s="136">
        <f t="shared" si="29"/>
        <v>0</v>
      </c>
      <c r="L132" s="181">
        <f t="shared" si="34"/>
        <v>31.4</v>
      </c>
      <c r="M132" s="179">
        <f t="shared" si="35"/>
        <v>140244.65</v>
      </c>
      <c r="N132" s="188">
        <f t="shared" si="36"/>
        <v>0</v>
      </c>
      <c r="O132" s="217"/>
      <c r="P132" s="235">
        <v>4.5</v>
      </c>
      <c r="Q132" s="239">
        <f>P132*F132</f>
        <v>20098.759999999998</v>
      </c>
      <c r="R132" s="237"/>
      <c r="S132" s="1">
        <f t="shared" si="30"/>
        <v>0</v>
      </c>
      <c r="T132" s="1"/>
      <c r="U132" s="1"/>
      <c r="V132" s="1"/>
      <c r="W132" s="1"/>
      <c r="X132" s="1"/>
      <c r="Y132" s="1"/>
      <c r="Z132" s="1"/>
      <c r="AA132" s="1"/>
      <c r="AB132" s="1"/>
      <c r="AD132" s="1"/>
      <c r="AE132" s="1"/>
      <c r="AF132" s="1"/>
      <c r="AG132" s="1"/>
      <c r="AH132" s="1"/>
      <c r="AI132" s="1"/>
      <c r="AJ132" s="1"/>
      <c r="AK132" s="1"/>
    </row>
    <row r="133" spans="1:37" s="3" customFormat="1" ht="39.950000000000003" customHeight="1" x14ac:dyDescent="0.25">
      <c r="A133" s="67">
        <v>1</v>
      </c>
      <c r="B133" s="83" t="s">
        <v>279</v>
      </c>
      <c r="C133" s="76" t="s">
        <v>93</v>
      </c>
      <c r="D133" s="77" t="s">
        <v>42</v>
      </c>
      <c r="E133" s="51">
        <v>142</v>
      </c>
      <c r="F133" s="52">
        <v>686.36</v>
      </c>
      <c r="G133" s="85">
        <f t="shared" si="38"/>
        <v>97463.12</v>
      </c>
      <c r="H133" s="54">
        <f t="shared" si="33"/>
        <v>22.01</v>
      </c>
      <c r="I133" s="53">
        <f t="shared" si="28"/>
        <v>15106.78</v>
      </c>
      <c r="J133" s="64">
        <f>22.01-4.4</f>
        <v>17.61</v>
      </c>
      <c r="K133" s="136">
        <f t="shared" si="29"/>
        <v>12086.8</v>
      </c>
      <c r="L133" s="57">
        <f t="shared" si="34"/>
        <v>119.99</v>
      </c>
      <c r="M133" s="53">
        <f t="shared" si="35"/>
        <v>82356.34</v>
      </c>
      <c r="N133" s="58">
        <f t="shared" si="36"/>
        <v>0.155</v>
      </c>
      <c r="O133" s="217"/>
      <c r="P133" s="235"/>
      <c r="Q133" s="236"/>
      <c r="R133" s="237"/>
      <c r="S133" s="1">
        <f t="shared" si="30"/>
        <v>4.4000000000000004</v>
      </c>
      <c r="T133" s="1"/>
      <c r="U133" s="1"/>
      <c r="V133" s="1"/>
      <c r="W133" s="1"/>
      <c r="X133" s="1"/>
      <c r="Y133" s="1"/>
      <c r="Z133" s="1"/>
      <c r="AA133" s="1"/>
      <c r="AB133" s="1">
        <v>4.4000000000000004</v>
      </c>
      <c r="AD133" s="1"/>
      <c r="AE133" s="1"/>
      <c r="AF133" s="1"/>
      <c r="AG133" s="1"/>
      <c r="AH133" s="1"/>
      <c r="AI133" s="1"/>
      <c r="AJ133" s="1"/>
      <c r="AK133" s="1"/>
    </row>
    <row r="134" spans="1:37" s="3" customFormat="1" ht="54" x14ac:dyDescent="0.25">
      <c r="A134" s="67">
        <v>1</v>
      </c>
      <c r="B134" s="83" t="s">
        <v>280</v>
      </c>
      <c r="C134" s="60" t="s">
        <v>251</v>
      </c>
      <c r="D134" s="50" t="s">
        <v>551</v>
      </c>
      <c r="E134" s="51">
        <v>71</v>
      </c>
      <c r="F134" s="52">
        <v>299.64999999999998</v>
      </c>
      <c r="G134" s="85">
        <f t="shared" si="38"/>
        <v>21275.15</v>
      </c>
      <c r="H134" s="54">
        <f t="shared" si="33"/>
        <v>18</v>
      </c>
      <c r="I134" s="53">
        <f t="shared" si="28"/>
        <v>5393.7</v>
      </c>
      <c r="J134" s="64">
        <v>10</v>
      </c>
      <c r="K134" s="136">
        <f t="shared" si="29"/>
        <v>2996.5</v>
      </c>
      <c r="L134" s="57">
        <f t="shared" si="34"/>
        <v>53</v>
      </c>
      <c r="M134" s="53">
        <f t="shared" si="35"/>
        <v>15881.45</v>
      </c>
      <c r="N134" s="58">
        <f t="shared" si="36"/>
        <v>0.25352000000000002</v>
      </c>
      <c r="O134" s="217"/>
      <c r="P134" s="235"/>
      <c r="Q134" s="236"/>
      <c r="R134" s="237"/>
      <c r="S134" s="1">
        <f t="shared" si="30"/>
        <v>8</v>
      </c>
      <c r="T134" s="1"/>
      <c r="U134" s="1"/>
      <c r="V134" s="1"/>
      <c r="W134" s="1"/>
      <c r="X134" s="1"/>
      <c r="Y134" s="1"/>
      <c r="Z134" s="1">
        <v>4</v>
      </c>
      <c r="AA134" s="1"/>
      <c r="AB134" s="1">
        <v>4</v>
      </c>
      <c r="AD134" s="1"/>
      <c r="AE134" s="1"/>
      <c r="AF134" s="1"/>
      <c r="AG134" s="1"/>
      <c r="AH134" s="1"/>
      <c r="AI134" s="1"/>
      <c r="AJ134" s="1"/>
      <c r="AK134" s="1"/>
    </row>
    <row r="135" spans="1:37" s="3" customFormat="1" ht="45" customHeight="1" x14ac:dyDescent="0.25">
      <c r="A135" s="67">
        <v>1</v>
      </c>
      <c r="B135" s="83" t="s">
        <v>281</v>
      </c>
      <c r="C135" s="76" t="s">
        <v>94</v>
      </c>
      <c r="D135" s="77" t="s">
        <v>551</v>
      </c>
      <c r="E135" s="51">
        <v>71</v>
      </c>
      <c r="F135" s="52">
        <v>90.85</v>
      </c>
      <c r="G135" s="85">
        <f t="shared" si="38"/>
        <v>6450.35</v>
      </c>
      <c r="H135" s="54">
        <f t="shared" si="33"/>
        <v>18</v>
      </c>
      <c r="I135" s="53">
        <f t="shared" si="28"/>
        <v>1635.3</v>
      </c>
      <c r="J135" s="64">
        <v>10</v>
      </c>
      <c r="K135" s="136">
        <f t="shared" si="29"/>
        <v>908.5</v>
      </c>
      <c r="L135" s="57">
        <f t="shared" si="34"/>
        <v>53</v>
      </c>
      <c r="M135" s="53">
        <f t="shared" si="35"/>
        <v>4815.05</v>
      </c>
      <c r="N135" s="58">
        <f t="shared" si="36"/>
        <v>0.25352000000000002</v>
      </c>
      <c r="O135" s="217"/>
      <c r="P135" s="235"/>
      <c r="Q135" s="236"/>
      <c r="R135" s="237"/>
      <c r="S135" s="1">
        <f t="shared" si="30"/>
        <v>8</v>
      </c>
      <c r="T135" s="1"/>
      <c r="U135" s="1"/>
      <c r="V135" s="1"/>
      <c r="W135" s="1"/>
      <c r="X135" s="1"/>
      <c r="Y135" s="1"/>
      <c r="Z135" s="1">
        <v>4</v>
      </c>
      <c r="AA135" s="1"/>
      <c r="AB135" s="1">
        <v>4</v>
      </c>
      <c r="AD135" s="1"/>
      <c r="AE135" s="1"/>
      <c r="AF135" s="1"/>
      <c r="AG135" s="1"/>
      <c r="AH135" s="1"/>
      <c r="AI135" s="1"/>
      <c r="AJ135" s="1"/>
      <c r="AK135" s="1"/>
    </row>
    <row r="136" spans="1:37" s="3" customFormat="1" ht="39.950000000000003" customHeight="1" x14ac:dyDescent="0.25">
      <c r="A136" s="67">
        <v>1</v>
      </c>
      <c r="B136" s="83" t="s">
        <v>282</v>
      </c>
      <c r="C136" s="84" t="s">
        <v>252</v>
      </c>
      <c r="D136" s="77" t="s">
        <v>551</v>
      </c>
      <c r="E136" s="51">
        <v>14</v>
      </c>
      <c r="F136" s="52">
        <v>1296.08</v>
      </c>
      <c r="G136" s="85">
        <f t="shared" si="38"/>
        <v>18145.12</v>
      </c>
      <c r="H136" s="54">
        <f t="shared" si="33"/>
        <v>10</v>
      </c>
      <c r="I136" s="53">
        <f t="shared" ref="I136:I192" si="39">H136*F136</f>
        <v>12960.8</v>
      </c>
      <c r="J136" s="64">
        <v>3</v>
      </c>
      <c r="K136" s="136">
        <f t="shared" ref="K136:K192" si="40">J136*F136</f>
        <v>3888.24</v>
      </c>
      <c r="L136" s="57">
        <f t="shared" si="34"/>
        <v>4</v>
      </c>
      <c r="M136" s="53">
        <f t="shared" si="35"/>
        <v>5184.32</v>
      </c>
      <c r="N136" s="58">
        <f t="shared" si="36"/>
        <v>0.71428999999999998</v>
      </c>
      <c r="O136" s="217"/>
      <c r="P136" s="235"/>
      <c r="Q136" s="236"/>
      <c r="R136" s="237"/>
      <c r="S136" s="1">
        <f t="shared" si="30"/>
        <v>7</v>
      </c>
      <c r="T136" s="1"/>
      <c r="U136" s="1"/>
      <c r="V136" s="1"/>
      <c r="W136" s="1"/>
      <c r="X136" s="1"/>
      <c r="Y136" s="1"/>
      <c r="Z136" s="1"/>
      <c r="AA136" s="1"/>
      <c r="AB136" s="1">
        <v>2</v>
      </c>
      <c r="AC136" s="3">
        <v>3</v>
      </c>
      <c r="AD136" s="1"/>
      <c r="AE136" s="1">
        <v>2</v>
      </c>
      <c r="AF136" s="1"/>
      <c r="AG136" s="1"/>
      <c r="AH136" s="1"/>
      <c r="AI136" s="1"/>
      <c r="AJ136" s="1"/>
      <c r="AK136" s="1"/>
    </row>
    <row r="137" spans="1:37" s="3" customFormat="1" ht="39.950000000000003" customHeight="1" x14ac:dyDescent="0.25">
      <c r="A137" s="67">
        <v>1</v>
      </c>
      <c r="B137" s="35" t="s">
        <v>283</v>
      </c>
      <c r="C137" s="84" t="s">
        <v>253</v>
      </c>
      <c r="D137" s="77" t="s">
        <v>551</v>
      </c>
      <c r="E137" s="51">
        <v>31</v>
      </c>
      <c r="F137" s="52">
        <v>2301.91</v>
      </c>
      <c r="G137" s="61">
        <f>E137*F137</f>
        <v>71359.210000000006</v>
      </c>
      <c r="H137" s="54">
        <f t="shared" si="33"/>
        <v>26</v>
      </c>
      <c r="I137" s="53">
        <f t="shared" si="39"/>
        <v>59849.66</v>
      </c>
      <c r="J137" s="64">
        <f>2</f>
        <v>2</v>
      </c>
      <c r="K137" s="136">
        <f t="shared" si="40"/>
        <v>4603.82</v>
      </c>
      <c r="L137" s="57">
        <f t="shared" si="34"/>
        <v>5</v>
      </c>
      <c r="M137" s="61">
        <f t="shared" si="35"/>
        <v>11509.55</v>
      </c>
      <c r="N137" s="58">
        <f t="shared" si="36"/>
        <v>0.83870999999999996</v>
      </c>
      <c r="O137" s="217"/>
      <c r="P137" s="235"/>
      <c r="Q137" s="236"/>
      <c r="R137" s="237"/>
      <c r="S137" s="1">
        <f t="shared" si="30"/>
        <v>24</v>
      </c>
      <c r="T137" s="1"/>
      <c r="U137" s="1"/>
      <c r="V137" s="1"/>
      <c r="W137" s="1"/>
      <c r="X137" s="1"/>
      <c r="Y137" s="1"/>
      <c r="Z137" s="1"/>
      <c r="AA137" s="1"/>
      <c r="AB137" s="1">
        <v>7</v>
      </c>
      <c r="AC137" s="3">
        <v>10</v>
      </c>
      <c r="AD137" s="1">
        <v>5</v>
      </c>
      <c r="AE137" s="1">
        <v>2</v>
      </c>
      <c r="AF137" s="1"/>
      <c r="AG137" s="1"/>
      <c r="AH137" s="1"/>
      <c r="AI137" s="1"/>
      <c r="AJ137" s="1"/>
      <c r="AK137" s="1"/>
    </row>
    <row r="138" spans="1:37" s="3" customFormat="1" ht="39.950000000000003" customHeight="1" x14ac:dyDescent="0.25">
      <c r="A138" s="67">
        <v>1</v>
      </c>
      <c r="B138" s="35" t="s">
        <v>284</v>
      </c>
      <c r="C138" s="84" t="s">
        <v>254</v>
      </c>
      <c r="D138" s="77" t="s">
        <v>551</v>
      </c>
      <c r="E138" s="51">
        <v>20</v>
      </c>
      <c r="F138" s="52">
        <v>3293.92</v>
      </c>
      <c r="G138" s="61">
        <f t="shared" ref="G138:G149" si="41">E138*F138</f>
        <v>65878.399999999994</v>
      </c>
      <c r="H138" s="54">
        <f t="shared" si="33"/>
        <v>8</v>
      </c>
      <c r="I138" s="53">
        <f t="shared" si="39"/>
        <v>26351.360000000001</v>
      </c>
      <c r="J138" s="64">
        <v>1</v>
      </c>
      <c r="K138" s="136">
        <f t="shared" si="40"/>
        <v>3293.92</v>
      </c>
      <c r="L138" s="57">
        <f t="shared" si="34"/>
        <v>12</v>
      </c>
      <c r="M138" s="61">
        <f t="shared" si="35"/>
        <v>39527.040000000001</v>
      </c>
      <c r="N138" s="58">
        <f t="shared" si="36"/>
        <v>0.4</v>
      </c>
      <c r="O138" s="217"/>
      <c r="P138" s="235"/>
      <c r="Q138" s="236"/>
      <c r="R138" s="237"/>
      <c r="S138" s="1">
        <f t="shared" si="30"/>
        <v>7</v>
      </c>
      <c r="T138" s="1"/>
      <c r="U138" s="1"/>
      <c r="V138" s="1"/>
      <c r="W138" s="1"/>
      <c r="X138" s="1"/>
      <c r="Y138" s="1"/>
      <c r="Z138" s="1"/>
      <c r="AA138" s="1"/>
      <c r="AB138" s="1">
        <v>1</v>
      </c>
      <c r="AD138" s="1">
        <v>1</v>
      </c>
      <c r="AE138" s="1">
        <v>5</v>
      </c>
      <c r="AF138" s="1"/>
      <c r="AG138" s="1"/>
      <c r="AH138" s="1"/>
      <c r="AI138" s="1"/>
      <c r="AJ138" s="1"/>
      <c r="AK138" s="1"/>
    </row>
    <row r="139" spans="1:37" s="3" customFormat="1" ht="39.950000000000003" customHeight="1" x14ac:dyDescent="0.25">
      <c r="A139" s="67">
        <v>1</v>
      </c>
      <c r="B139" s="35" t="s">
        <v>285</v>
      </c>
      <c r="C139" s="84" t="s">
        <v>255</v>
      </c>
      <c r="D139" s="77" t="s">
        <v>551</v>
      </c>
      <c r="E139" s="51">
        <v>11</v>
      </c>
      <c r="F139" s="52">
        <v>4295.78</v>
      </c>
      <c r="G139" s="61">
        <f t="shared" si="41"/>
        <v>47253.58</v>
      </c>
      <c r="H139" s="54">
        <f t="shared" si="33"/>
        <v>0</v>
      </c>
      <c r="I139" s="55">
        <f t="shared" si="39"/>
        <v>0</v>
      </c>
      <c r="J139" s="64"/>
      <c r="K139" s="136">
        <f t="shared" si="40"/>
        <v>0</v>
      </c>
      <c r="L139" s="57">
        <f t="shared" si="34"/>
        <v>11</v>
      </c>
      <c r="M139" s="61">
        <f t="shared" si="35"/>
        <v>47253.58</v>
      </c>
      <c r="N139" s="58">
        <f t="shared" si="36"/>
        <v>0</v>
      </c>
      <c r="O139" s="217"/>
      <c r="P139" s="235"/>
      <c r="Q139" s="236"/>
      <c r="R139" s="237"/>
      <c r="S139" s="1">
        <f t="shared" si="30"/>
        <v>0</v>
      </c>
      <c r="T139" s="1"/>
      <c r="U139" s="1"/>
      <c r="V139" s="1"/>
      <c r="W139" s="1"/>
      <c r="X139" s="1"/>
      <c r="Y139" s="1"/>
      <c r="Z139" s="1"/>
      <c r="AA139" s="1"/>
      <c r="AB139" s="1"/>
      <c r="AD139" s="1"/>
      <c r="AE139" s="1"/>
      <c r="AF139" s="1"/>
      <c r="AG139" s="1"/>
      <c r="AH139" s="1"/>
      <c r="AI139" s="1"/>
      <c r="AJ139" s="1"/>
      <c r="AK139" s="1"/>
    </row>
    <row r="140" spans="1:37" s="3" customFormat="1" ht="47.25" customHeight="1" x14ac:dyDescent="0.25">
      <c r="A140" s="67">
        <v>1</v>
      </c>
      <c r="B140" s="35" t="s">
        <v>286</v>
      </c>
      <c r="C140" s="84" t="s">
        <v>256</v>
      </c>
      <c r="D140" s="77" t="s">
        <v>551</v>
      </c>
      <c r="E140" s="51">
        <v>1</v>
      </c>
      <c r="F140" s="52">
        <v>2267.6</v>
      </c>
      <c r="G140" s="61">
        <f t="shared" si="41"/>
        <v>2267.6</v>
      </c>
      <c r="H140" s="54">
        <f t="shared" si="33"/>
        <v>1</v>
      </c>
      <c r="I140" s="53">
        <f t="shared" si="39"/>
        <v>2267.6</v>
      </c>
      <c r="J140" s="64"/>
      <c r="K140" s="136">
        <f t="shared" si="40"/>
        <v>0</v>
      </c>
      <c r="L140" s="57">
        <f t="shared" si="34"/>
        <v>0</v>
      </c>
      <c r="M140" s="61">
        <f t="shared" si="35"/>
        <v>0</v>
      </c>
      <c r="N140" s="58">
        <f t="shared" si="36"/>
        <v>1</v>
      </c>
      <c r="O140" s="217"/>
      <c r="P140" s="235"/>
      <c r="Q140" s="236"/>
      <c r="R140" s="237"/>
      <c r="S140" s="1">
        <f t="shared" si="30"/>
        <v>1</v>
      </c>
      <c r="T140" s="1"/>
      <c r="U140" s="1"/>
      <c r="V140" s="1"/>
      <c r="W140" s="1"/>
      <c r="X140" s="1"/>
      <c r="Y140" s="1"/>
      <c r="Z140" s="1"/>
      <c r="AA140" s="1"/>
      <c r="AB140" s="1"/>
      <c r="AD140" s="1">
        <v>1</v>
      </c>
      <c r="AE140" s="1"/>
      <c r="AF140" s="1"/>
      <c r="AG140" s="1"/>
      <c r="AH140" s="1"/>
      <c r="AI140" s="1"/>
      <c r="AJ140" s="1"/>
      <c r="AK140" s="1"/>
    </row>
    <row r="141" spans="1:37" s="3" customFormat="1" ht="49.5" customHeight="1" x14ac:dyDescent="0.25">
      <c r="A141" s="67">
        <v>1</v>
      </c>
      <c r="B141" s="35" t="s">
        <v>287</v>
      </c>
      <c r="C141" s="84" t="s">
        <v>257</v>
      </c>
      <c r="D141" s="77" t="s">
        <v>551</v>
      </c>
      <c r="E141" s="51">
        <v>1</v>
      </c>
      <c r="F141" s="52">
        <v>2013.46</v>
      </c>
      <c r="G141" s="61">
        <f t="shared" si="41"/>
        <v>2013.46</v>
      </c>
      <c r="H141" s="54">
        <f t="shared" si="33"/>
        <v>0</v>
      </c>
      <c r="I141" s="55">
        <f t="shared" si="39"/>
        <v>0</v>
      </c>
      <c r="J141" s="64"/>
      <c r="K141" s="134">
        <f t="shared" si="40"/>
        <v>0</v>
      </c>
      <c r="L141" s="57">
        <f t="shared" si="34"/>
        <v>1</v>
      </c>
      <c r="M141" s="61">
        <f t="shared" si="35"/>
        <v>2013.46</v>
      </c>
      <c r="N141" s="58">
        <f t="shared" si="36"/>
        <v>0</v>
      </c>
      <c r="O141" s="217"/>
      <c r="P141" s="235"/>
      <c r="Q141" s="236"/>
      <c r="R141" s="237"/>
      <c r="S141" s="1">
        <f t="shared" ref="S141:S204" si="42">SUM(T141:AK141)</f>
        <v>0</v>
      </c>
      <c r="T141" s="1"/>
      <c r="U141" s="1"/>
      <c r="V141" s="1"/>
      <c r="W141" s="1"/>
      <c r="X141" s="1"/>
      <c r="Y141" s="1"/>
      <c r="Z141" s="1"/>
      <c r="AA141" s="1"/>
      <c r="AB141" s="1"/>
      <c r="AD141" s="1"/>
      <c r="AE141" s="1"/>
      <c r="AF141" s="1"/>
      <c r="AG141" s="1"/>
      <c r="AH141" s="1"/>
      <c r="AI141" s="1"/>
      <c r="AJ141" s="1"/>
      <c r="AK141" s="1"/>
    </row>
    <row r="142" spans="1:37" s="3" customFormat="1" ht="39.950000000000003" customHeight="1" x14ac:dyDescent="0.25">
      <c r="A142" s="182">
        <v>1</v>
      </c>
      <c r="B142" s="183" t="s">
        <v>288</v>
      </c>
      <c r="C142" s="184" t="s">
        <v>258</v>
      </c>
      <c r="D142" s="185" t="s">
        <v>551</v>
      </c>
      <c r="E142" s="186">
        <v>1</v>
      </c>
      <c r="F142" s="178">
        <v>5250.1</v>
      </c>
      <c r="G142" s="187">
        <f t="shared" si="41"/>
        <v>5250.1</v>
      </c>
      <c r="H142" s="180">
        <f t="shared" si="33"/>
        <v>1</v>
      </c>
      <c r="I142" s="179">
        <f t="shared" si="39"/>
        <v>5250.1</v>
      </c>
      <c r="J142" s="64"/>
      <c r="K142" s="136">
        <f t="shared" si="40"/>
        <v>0</v>
      </c>
      <c r="L142" s="181">
        <f t="shared" si="34"/>
        <v>0</v>
      </c>
      <c r="M142" s="179">
        <f t="shared" si="35"/>
        <v>0</v>
      </c>
      <c r="N142" s="188">
        <f t="shared" si="36"/>
        <v>1</v>
      </c>
      <c r="O142" s="217"/>
      <c r="P142" s="235"/>
      <c r="Q142" s="236"/>
      <c r="R142" s="237"/>
      <c r="S142" s="1">
        <f t="shared" si="42"/>
        <v>1</v>
      </c>
      <c r="T142" s="1"/>
      <c r="U142" s="1"/>
      <c r="V142" s="1"/>
      <c r="W142" s="1"/>
      <c r="X142" s="1"/>
      <c r="Y142" s="1"/>
      <c r="Z142" s="1">
        <v>1</v>
      </c>
      <c r="AA142" s="1"/>
      <c r="AB142" s="1"/>
      <c r="AD142" s="1"/>
      <c r="AE142" s="1"/>
      <c r="AF142" s="1"/>
      <c r="AG142" s="1"/>
      <c r="AH142" s="1"/>
      <c r="AI142" s="1"/>
      <c r="AJ142" s="1"/>
      <c r="AK142" s="1"/>
    </row>
    <row r="143" spans="1:37" s="3" customFormat="1" ht="48" customHeight="1" x14ac:dyDescent="0.25">
      <c r="A143" s="67">
        <v>1</v>
      </c>
      <c r="B143" s="35" t="s">
        <v>289</v>
      </c>
      <c r="C143" s="84" t="s">
        <v>259</v>
      </c>
      <c r="D143" s="77" t="s">
        <v>551</v>
      </c>
      <c r="E143" s="51">
        <v>4</v>
      </c>
      <c r="F143" s="52">
        <v>4433.45</v>
      </c>
      <c r="G143" s="61">
        <f t="shared" si="41"/>
        <v>17733.8</v>
      </c>
      <c r="H143" s="54">
        <f t="shared" si="33"/>
        <v>0</v>
      </c>
      <c r="I143" s="55">
        <f t="shared" si="39"/>
        <v>0</v>
      </c>
      <c r="J143" s="64"/>
      <c r="K143" s="134">
        <f t="shared" si="40"/>
        <v>0</v>
      </c>
      <c r="L143" s="57">
        <f t="shared" si="34"/>
        <v>4</v>
      </c>
      <c r="M143" s="61">
        <f t="shared" si="35"/>
        <v>17733.8</v>
      </c>
      <c r="N143" s="58">
        <f t="shared" si="36"/>
        <v>0</v>
      </c>
      <c r="O143" s="217"/>
      <c r="P143" s="235"/>
      <c r="Q143" s="236"/>
      <c r="R143" s="237"/>
      <c r="S143" s="1">
        <f t="shared" si="42"/>
        <v>0</v>
      </c>
      <c r="T143" s="1"/>
      <c r="U143" s="1"/>
      <c r="V143" s="1"/>
      <c r="W143" s="1"/>
      <c r="X143" s="1"/>
      <c r="Y143" s="1"/>
      <c r="Z143" s="1"/>
      <c r="AA143" s="1"/>
      <c r="AB143" s="1"/>
      <c r="AD143" s="1"/>
      <c r="AE143" s="1"/>
      <c r="AF143" s="1"/>
      <c r="AG143" s="1"/>
      <c r="AH143" s="1"/>
      <c r="AI143" s="1"/>
      <c r="AJ143" s="1"/>
      <c r="AK143" s="1"/>
    </row>
    <row r="144" spans="1:37" s="3" customFormat="1" ht="45.75" customHeight="1" x14ac:dyDescent="0.25">
      <c r="A144" s="67">
        <v>1</v>
      </c>
      <c r="B144" s="35" t="s">
        <v>290</v>
      </c>
      <c r="C144" s="84" t="s">
        <v>260</v>
      </c>
      <c r="D144" s="77" t="s">
        <v>551</v>
      </c>
      <c r="E144" s="51">
        <v>1</v>
      </c>
      <c r="F144" s="52">
        <v>6579.07</v>
      </c>
      <c r="G144" s="61">
        <f t="shared" si="41"/>
        <v>6579.07</v>
      </c>
      <c r="H144" s="54">
        <f t="shared" si="33"/>
        <v>0</v>
      </c>
      <c r="I144" s="55">
        <f t="shared" si="39"/>
        <v>0</v>
      </c>
      <c r="J144" s="64"/>
      <c r="K144" s="134">
        <f t="shared" si="40"/>
        <v>0</v>
      </c>
      <c r="L144" s="57">
        <f t="shared" si="34"/>
        <v>1</v>
      </c>
      <c r="M144" s="61">
        <f t="shared" si="35"/>
        <v>6579.07</v>
      </c>
      <c r="N144" s="58">
        <f t="shared" si="36"/>
        <v>0</v>
      </c>
      <c r="O144" s="217"/>
      <c r="P144" s="235"/>
      <c r="Q144" s="236"/>
      <c r="R144" s="237"/>
      <c r="S144" s="1">
        <f t="shared" si="42"/>
        <v>0</v>
      </c>
      <c r="T144" s="1"/>
      <c r="U144" s="1"/>
      <c r="V144" s="1"/>
      <c r="W144" s="1"/>
      <c r="X144" s="1"/>
      <c r="Y144" s="1"/>
      <c r="Z144" s="1"/>
      <c r="AA144" s="1"/>
      <c r="AB144" s="1"/>
      <c r="AD144" s="1"/>
      <c r="AE144" s="1"/>
      <c r="AF144" s="1"/>
      <c r="AG144" s="1"/>
      <c r="AH144" s="1"/>
      <c r="AI144" s="1"/>
      <c r="AJ144" s="1"/>
      <c r="AK144" s="1"/>
    </row>
    <row r="145" spans="1:37" s="3" customFormat="1" ht="39.950000000000003" customHeight="1" x14ac:dyDescent="0.25">
      <c r="A145" s="67">
        <v>1</v>
      </c>
      <c r="B145" s="35" t="s">
        <v>291</v>
      </c>
      <c r="C145" s="84" t="s">
        <v>261</v>
      </c>
      <c r="D145" s="77" t="s">
        <v>551</v>
      </c>
      <c r="E145" s="51">
        <v>2</v>
      </c>
      <c r="F145" s="52">
        <v>24859.17</v>
      </c>
      <c r="G145" s="61">
        <f t="shared" si="41"/>
        <v>49718.34</v>
      </c>
      <c r="H145" s="54">
        <f t="shared" si="33"/>
        <v>0</v>
      </c>
      <c r="I145" s="55">
        <f t="shared" si="39"/>
        <v>0</v>
      </c>
      <c r="J145" s="64"/>
      <c r="K145" s="134">
        <f t="shared" si="40"/>
        <v>0</v>
      </c>
      <c r="L145" s="57">
        <f t="shared" si="34"/>
        <v>2</v>
      </c>
      <c r="M145" s="61">
        <f t="shared" si="35"/>
        <v>49718.34</v>
      </c>
      <c r="N145" s="58">
        <f t="shared" si="36"/>
        <v>0</v>
      </c>
      <c r="O145" s="217"/>
      <c r="P145" s="235"/>
      <c r="Q145" s="236"/>
      <c r="R145" s="237"/>
      <c r="S145" s="1">
        <f t="shared" si="42"/>
        <v>0</v>
      </c>
      <c r="T145" s="1"/>
      <c r="U145" s="1"/>
      <c r="V145" s="1"/>
      <c r="W145" s="1"/>
      <c r="X145" s="1"/>
      <c r="Y145" s="1"/>
      <c r="Z145" s="1"/>
      <c r="AA145" s="1"/>
      <c r="AB145" s="1"/>
      <c r="AD145" s="1"/>
      <c r="AE145" s="1"/>
      <c r="AF145" s="1"/>
      <c r="AG145" s="1"/>
      <c r="AH145" s="1"/>
      <c r="AI145" s="1"/>
      <c r="AJ145" s="1"/>
      <c r="AK145" s="1"/>
    </row>
    <row r="146" spans="1:37" s="3" customFormat="1" ht="39.950000000000003" customHeight="1" x14ac:dyDescent="0.25">
      <c r="A146" s="67">
        <v>1</v>
      </c>
      <c r="B146" s="35" t="s">
        <v>292</v>
      </c>
      <c r="C146" s="60" t="s">
        <v>149</v>
      </c>
      <c r="D146" s="77" t="s">
        <v>42</v>
      </c>
      <c r="E146" s="51">
        <v>12</v>
      </c>
      <c r="F146" s="52">
        <v>1493.61</v>
      </c>
      <c r="G146" s="61">
        <f t="shared" si="41"/>
        <v>17923.32</v>
      </c>
      <c r="H146" s="54">
        <f t="shared" si="33"/>
        <v>0</v>
      </c>
      <c r="I146" s="55">
        <f t="shared" si="39"/>
        <v>0</v>
      </c>
      <c r="J146" s="64"/>
      <c r="K146" s="134">
        <f t="shared" si="40"/>
        <v>0</v>
      </c>
      <c r="L146" s="57">
        <f t="shared" si="34"/>
        <v>12</v>
      </c>
      <c r="M146" s="61">
        <f t="shared" si="35"/>
        <v>17923.32</v>
      </c>
      <c r="N146" s="58">
        <f t="shared" si="36"/>
        <v>0</v>
      </c>
      <c r="O146" s="217"/>
      <c r="P146" s="235"/>
      <c r="Q146" s="236"/>
      <c r="R146" s="237"/>
      <c r="S146" s="1">
        <f t="shared" si="42"/>
        <v>0</v>
      </c>
      <c r="T146" s="1"/>
      <c r="U146" s="1"/>
      <c r="V146" s="1"/>
      <c r="W146" s="1"/>
      <c r="X146" s="1"/>
      <c r="Y146" s="1"/>
      <c r="Z146" s="1"/>
      <c r="AA146" s="1"/>
      <c r="AB146" s="1"/>
      <c r="AD146" s="1"/>
      <c r="AE146" s="1"/>
      <c r="AF146" s="1"/>
      <c r="AG146" s="1"/>
      <c r="AH146" s="1"/>
      <c r="AI146" s="1"/>
      <c r="AJ146" s="1"/>
      <c r="AK146" s="1"/>
    </row>
    <row r="147" spans="1:37" s="3" customFormat="1" ht="39.950000000000003" customHeight="1" x14ac:dyDescent="0.25">
      <c r="A147" s="67">
        <v>1</v>
      </c>
      <c r="B147" s="35" t="s">
        <v>293</v>
      </c>
      <c r="C147" s="60" t="s">
        <v>150</v>
      </c>
      <c r="D147" s="77" t="s">
        <v>42</v>
      </c>
      <c r="E147" s="51">
        <v>19</v>
      </c>
      <c r="F147" s="52">
        <v>2602.34</v>
      </c>
      <c r="G147" s="61">
        <f t="shared" si="41"/>
        <v>49444.46</v>
      </c>
      <c r="H147" s="54">
        <f t="shared" si="33"/>
        <v>0</v>
      </c>
      <c r="I147" s="55">
        <f t="shared" si="39"/>
        <v>0</v>
      </c>
      <c r="J147" s="64"/>
      <c r="K147" s="134">
        <f t="shared" si="40"/>
        <v>0</v>
      </c>
      <c r="L147" s="57">
        <f t="shared" si="34"/>
        <v>19</v>
      </c>
      <c r="M147" s="61">
        <f t="shared" si="35"/>
        <v>49444.46</v>
      </c>
      <c r="N147" s="58">
        <f t="shared" si="36"/>
        <v>0</v>
      </c>
      <c r="O147" s="217"/>
      <c r="P147" s="235"/>
      <c r="Q147" s="236"/>
      <c r="R147" s="237"/>
      <c r="S147" s="1">
        <f t="shared" si="42"/>
        <v>0</v>
      </c>
      <c r="T147" s="1"/>
      <c r="U147" s="1"/>
      <c r="V147" s="1"/>
      <c r="W147" s="1"/>
      <c r="X147" s="1"/>
      <c r="Y147" s="1"/>
      <c r="Z147" s="1"/>
      <c r="AA147" s="1"/>
      <c r="AB147" s="1"/>
      <c r="AD147" s="1"/>
      <c r="AE147" s="1"/>
      <c r="AF147" s="1"/>
      <c r="AG147" s="1"/>
      <c r="AH147" s="1"/>
      <c r="AI147" s="1"/>
      <c r="AJ147" s="1"/>
      <c r="AK147" s="1"/>
    </row>
    <row r="148" spans="1:37" s="3" customFormat="1" ht="45.75" customHeight="1" x14ac:dyDescent="0.25">
      <c r="A148" s="67">
        <v>1</v>
      </c>
      <c r="B148" s="35" t="s">
        <v>294</v>
      </c>
      <c r="C148" s="60" t="s">
        <v>151</v>
      </c>
      <c r="D148" s="77" t="s">
        <v>42</v>
      </c>
      <c r="E148" s="51">
        <v>5</v>
      </c>
      <c r="F148" s="52">
        <v>4835.95</v>
      </c>
      <c r="G148" s="61">
        <f t="shared" si="41"/>
        <v>24179.75</v>
      </c>
      <c r="H148" s="54">
        <f t="shared" si="33"/>
        <v>0</v>
      </c>
      <c r="I148" s="55">
        <f t="shared" si="39"/>
        <v>0</v>
      </c>
      <c r="J148" s="64"/>
      <c r="K148" s="134">
        <f t="shared" si="40"/>
        <v>0</v>
      </c>
      <c r="L148" s="57">
        <f t="shared" si="34"/>
        <v>5</v>
      </c>
      <c r="M148" s="61">
        <f t="shared" si="35"/>
        <v>24179.75</v>
      </c>
      <c r="N148" s="58">
        <f t="shared" si="36"/>
        <v>0</v>
      </c>
      <c r="O148" s="217"/>
      <c r="P148" s="235"/>
      <c r="Q148" s="236"/>
      <c r="R148" s="237"/>
      <c r="S148" s="1">
        <f t="shared" si="42"/>
        <v>0</v>
      </c>
      <c r="T148" s="1"/>
      <c r="U148" s="1"/>
      <c r="V148" s="1"/>
      <c r="W148" s="1"/>
      <c r="X148" s="1"/>
      <c r="Y148" s="1"/>
      <c r="Z148" s="1"/>
      <c r="AA148" s="1"/>
      <c r="AB148" s="1"/>
      <c r="AD148" s="1"/>
      <c r="AE148" s="1"/>
      <c r="AF148" s="1"/>
      <c r="AG148" s="1"/>
      <c r="AH148" s="1"/>
      <c r="AI148" s="1"/>
      <c r="AJ148" s="1"/>
      <c r="AK148" s="1"/>
    </row>
    <row r="149" spans="1:37" s="3" customFormat="1" ht="40.5" customHeight="1" x14ac:dyDescent="0.25">
      <c r="A149" s="67">
        <v>1</v>
      </c>
      <c r="B149" s="35" t="s">
        <v>295</v>
      </c>
      <c r="C149" s="76" t="s">
        <v>262</v>
      </c>
      <c r="D149" s="77" t="s">
        <v>263</v>
      </c>
      <c r="E149" s="51">
        <v>7560</v>
      </c>
      <c r="F149" s="52">
        <v>1.02</v>
      </c>
      <c r="G149" s="61">
        <f t="shared" si="41"/>
        <v>7711.2</v>
      </c>
      <c r="H149" s="54">
        <f t="shared" si="33"/>
        <v>7560</v>
      </c>
      <c r="I149" s="53">
        <f t="shared" si="39"/>
        <v>7711.2</v>
      </c>
      <c r="J149" s="64"/>
      <c r="K149" s="136">
        <f t="shared" si="40"/>
        <v>0</v>
      </c>
      <c r="L149" s="57">
        <f t="shared" si="34"/>
        <v>0</v>
      </c>
      <c r="M149" s="61">
        <f t="shared" si="35"/>
        <v>0</v>
      </c>
      <c r="N149" s="58">
        <f t="shared" si="36"/>
        <v>1</v>
      </c>
      <c r="O149" s="217"/>
      <c r="P149" s="235"/>
      <c r="Q149" s="236"/>
      <c r="R149" s="237"/>
      <c r="S149" s="1">
        <f t="shared" si="42"/>
        <v>7560</v>
      </c>
      <c r="T149" s="1"/>
      <c r="U149" s="1"/>
      <c r="V149" s="1"/>
      <c r="W149" s="1"/>
      <c r="X149" s="1"/>
      <c r="Y149" s="1">
        <v>1701</v>
      </c>
      <c r="Z149" s="1"/>
      <c r="AA149" s="1"/>
      <c r="AB149" s="1">
        <v>3675</v>
      </c>
      <c r="AC149" s="3">
        <v>787.5</v>
      </c>
      <c r="AD149" s="1">
        <v>945</v>
      </c>
      <c r="AE149" s="1">
        <v>451.5</v>
      </c>
      <c r="AF149" s="1"/>
      <c r="AG149" s="1"/>
      <c r="AH149" s="1"/>
      <c r="AI149" s="1"/>
      <c r="AJ149" s="1"/>
      <c r="AK149" s="1"/>
    </row>
    <row r="150" spans="1:37" s="3" customFormat="1" ht="39.950000000000003" customHeight="1" x14ac:dyDescent="0.25">
      <c r="A150" s="309" t="s">
        <v>496</v>
      </c>
      <c r="B150" s="310"/>
      <c r="C150" s="310"/>
      <c r="D150" s="310"/>
      <c r="E150" s="310"/>
      <c r="F150" s="311"/>
      <c r="G150" s="62">
        <f>SUM(G110:G149)</f>
        <v>1772001.85</v>
      </c>
      <c r="H150" s="63"/>
      <c r="I150" s="62">
        <f>SUM(I110:I149)</f>
        <v>509185.99</v>
      </c>
      <c r="J150" s="64"/>
      <c r="K150" s="62">
        <f>SUM(K110:K149)</f>
        <v>45254.29</v>
      </c>
      <c r="L150" s="65"/>
      <c r="M150" s="62">
        <f>SUM(M110:M149)</f>
        <v>1262815.8500000001</v>
      </c>
      <c r="N150" s="66">
        <f t="shared" si="36"/>
        <v>0.28734999999999999</v>
      </c>
      <c r="O150" s="217"/>
      <c r="P150" s="235"/>
      <c r="Q150" s="236"/>
      <c r="R150" s="237"/>
      <c r="S150" s="1">
        <f t="shared" si="42"/>
        <v>0</v>
      </c>
      <c r="T150" s="1"/>
      <c r="U150" s="1"/>
      <c r="V150" s="1"/>
      <c r="W150" s="1"/>
      <c r="X150" s="1"/>
      <c r="Y150" s="1"/>
      <c r="Z150" s="1"/>
      <c r="AA150" s="1"/>
      <c r="AB150" s="1"/>
      <c r="AD150" s="1"/>
      <c r="AE150" s="1"/>
      <c r="AF150" s="1"/>
      <c r="AG150" s="1"/>
      <c r="AH150" s="1"/>
      <c r="AI150" s="1"/>
      <c r="AJ150" s="1"/>
      <c r="AK150" s="1"/>
    </row>
    <row r="151" spans="1:37" s="3" customFormat="1" ht="39.950000000000003" customHeight="1" x14ac:dyDescent="0.25">
      <c r="A151" s="47">
        <v>1</v>
      </c>
      <c r="B151" s="47" t="s">
        <v>102</v>
      </c>
      <c r="C151" s="291" t="s">
        <v>296</v>
      </c>
      <c r="D151" s="292"/>
      <c r="E151" s="292"/>
      <c r="F151" s="292"/>
      <c r="G151" s="292"/>
      <c r="H151" s="292"/>
      <c r="I151" s="292"/>
      <c r="J151" s="292"/>
      <c r="K151" s="292"/>
      <c r="L151" s="292"/>
      <c r="M151" s="292"/>
      <c r="N151" s="293"/>
      <c r="O151" s="217"/>
      <c r="P151" s="235"/>
      <c r="Q151" s="236"/>
      <c r="R151" s="237"/>
      <c r="S151" s="1">
        <f t="shared" si="42"/>
        <v>0</v>
      </c>
      <c r="T151" s="1"/>
      <c r="U151" s="1"/>
      <c r="V151" s="1"/>
      <c r="W151" s="1"/>
      <c r="X151" s="1"/>
      <c r="Y151" s="1"/>
      <c r="Z151" s="1"/>
      <c r="AA151" s="1"/>
      <c r="AB151" s="1"/>
      <c r="AD151" s="1"/>
      <c r="AE151" s="1"/>
      <c r="AF151" s="1"/>
      <c r="AG151" s="1"/>
      <c r="AH151" s="1"/>
      <c r="AI151" s="1"/>
      <c r="AJ151" s="1"/>
      <c r="AK151" s="1"/>
    </row>
    <row r="152" spans="1:37" s="3" customFormat="1" ht="39.950000000000003" customHeight="1" x14ac:dyDescent="0.25">
      <c r="A152" s="156">
        <v>1</v>
      </c>
      <c r="B152" s="156" t="s">
        <v>312</v>
      </c>
      <c r="C152" s="157" t="s">
        <v>140</v>
      </c>
      <c r="D152" s="158" t="s">
        <v>135</v>
      </c>
      <c r="E152" s="159">
        <v>2520</v>
      </c>
      <c r="F152" s="161">
        <v>3.75</v>
      </c>
      <c r="G152" s="161">
        <f>E152*F152</f>
        <v>9450</v>
      </c>
      <c r="H152" s="162">
        <f t="shared" ref="H152:H170" si="43">S152+J152</f>
        <v>2520</v>
      </c>
      <c r="I152" s="161">
        <f t="shared" si="39"/>
        <v>9450</v>
      </c>
      <c r="J152" s="135"/>
      <c r="K152" s="136">
        <f t="shared" si="40"/>
        <v>0</v>
      </c>
      <c r="L152" s="163">
        <f t="shared" ref="L152:L170" si="44">E152-H152</f>
        <v>0</v>
      </c>
      <c r="M152" s="161">
        <f t="shared" ref="M152:M170" si="45">L152*F152</f>
        <v>0</v>
      </c>
      <c r="N152" s="164">
        <f t="shared" ref="N152:N171" si="46">IF(G152=0,"",I152/G152)</f>
        <v>1</v>
      </c>
      <c r="O152" s="217"/>
      <c r="P152" s="235">
        <f>11047.89-804.64</f>
        <v>10243.25</v>
      </c>
      <c r="Q152" s="239">
        <f>P152*F152</f>
        <v>38412.19</v>
      </c>
      <c r="R152" s="237"/>
      <c r="S152" s="1">
        <f t="shared" si="42"/>
        <v>2520</v>
      </c>
      <c r="T152" s="1"/>
      <c r="U152" s="1"/>
      <c r="V152" s="1"/>
      <c r="W152" s="1"/>
      <c r="X152" s="1">
        <v>1177.2</v>
      </c>
      <c r="Y152" s="1">
        <v>538.16</v>
      </c>
      <c r="Z152" s="1">
        <v>804.64</v>
      </c>
      <c r="AA152" s="1"/>
      <c r="AB152" s="1"/>
      <c r="AD152" s="1"/>
      <c r="AE152" s="1"/>
      <c r="AF152" s="1"/>
      <c r="AG152" s="1"/>
      <c r="AH152" s="1"/>
      <c r="AI152" s="1"/>
      <c r="AJ152" s="1"/>
      <c r="AK152" s="1"/>
    </row>
    <row r="153" spans="1:37" s="3" customFormat="1" ht="39.950000000000003" customHeight="1" x14ac:dyDescent="0.25">
      <c r="A153" s="166">
        <v>1</v>
      </c>
      <c r="B153" s="166" t="s">
        <v>313</v>
      </c>
      <c r="C153" s="167" t="s">
        <v>168</v>
      </c>
      <c r="D153" s="175" t="s">
        <v>143</v>
      </c>
      <c r="E153" s="169">
        <v>5630</v>
      </c>
      <c r="F153" s="171">
        <v>0.77</v>
      </c>
      <c r="G153" s="171">
        <f t="shared" ref="G153:G157" si="47">E153*F153</f>
        <v>4335.1000000000004</v>
      </c>
      <c r="H153" s="172">
        <f t="shared" si="43"/>
        <v>2354.4</v>
      </c>
      <c r="I153" s="171">
        <f t="shared" si="39"/>
        <v>1812.89</v>
      </c>
      <c r="J153" s="137"/>
      <c r="K153" s="136">
        <f t="shared" si="40"/>
        <v>0</v>
      </c>
      <c r="L153" s="173">
        <f t="shared" si="44"/>
        <v>3275.6</v>
      </c>
      <c r="M153" s="171">
        <f t="shared" si="45"/>
        <v>2522.21</v>
      </c>
      <c r="N153" s="174">
        <f t="shared" si="46"/>
        <v>0.41819000000000001</v>
      </c>
      <c r="O153" s="217"/>
      <c r="P153" s="241">
        <v>-2354.4</v>
      </c>
      <c r="Q153" s="242">
        <f>P153*F153</f>
        <v>-1812.89</v>
      </c>
      <c r="R153" s="237"/>
      <c r="S153" s="1">
        <f t="shared" si="42"/>
        <v>2354.4</v>
      </c>
      <c r="T153" s="1"/>
      <c r="U153" s="1"/>
      <c r="V153" s="1"/>
      <c r="W153" s="1"/>
      <c r="X153" s="1">
        <v>2354.4</v>
      </c>
      <c r="Y153" s="1"/>
      <c r="Z153" s="1"/>
      <c r="AA153" s="1"/>
      <c r="AB153" s="1"/>
      <c r="AD153" s="1"/>
      <c r="AE153" s="1"/>
      <c r="AF153" s="1"/>
      <c r="AG153" s="1"/>
      <c r="AH153" s="1"/>
      <c r="AI153" s="1"/>
      <c r="AJ153" s="1"/>
      <c r="AK153" s="1"/>
    </row>
    <row r="154" spans="1:37" s="3" customFormat="1" ht="39.950000000000003" customHeight="1" x14ac:dyDescent="0.25">
      <c r="A154" s="216">
        <v>1</v>
      </c>
      <c r="B154" s="216" t="s">
        <v>314</v>
      </c>
      <c r="C154" s="49" t="s">
        <v>297</v>
      </c>
      <c r="D154" s="50" t="s">
        <v>542</v>
      </c>
      <c r="E154" s="59">
        <v>17520</v>
      </c>
      <c r="F154" s="206">
        <v>10.25</v>
      </c>
      <c r="G154" s="206">
        <f t="shared" si="47"/>
        <v>179580</v>
      </c>
      <c r="H154" s="207">
        <f t="shared" si="43"/>
        <v>5938.6</v>
      </c>
      <c r="I154" s="206">
        <f t="shared" si="39"/>
        <v>60870.65</v>
      </c>
      <c r="J154" s="135">
        <v>1043.19</v>
      </c>
      <c r="K154" s="136">
        <f t="shared" si="40"/>
        <v>10692.7</v>
      </c>
      <c r="L154" s="208">
        <f t="shared" si="44"/>
        <v>11581.4</v>
      </c>
      <c r="M154" s="206">
        <f t="shared" si="45"/>
        <v>118709.35</v>
      </c>
      <c r="N154" s="214">
        <f t="shared" si="46"/>
        <v>0.33895999999999998</v>
      </c>
      <c r="O154" s="217"/>
      <c r="P154" s="249"/>
      <c r="Q154" s="250"/>
      <c r="R154" s="237"/>
      <c r="S154" s="1">
        <f t="shared" si="42"/>
        <v>4895.41</v>
      </c>
      <c r="T154" s="1"/>
      <c r="U154" s="1"/>
      <c r="V154" s="1"/>
      <c r="W154" s="1"/>
      <c r="X154" s="1">
        <v>392.4</v>
      </c>
      <c r="Y154" s="1">
        <v>966.2</v>
      </c>
      <c r="Z154" s="1">
        <v>1977.49</v>
      </c>
      <c r="AA154" s="1"/>
      <c r="AB154" s="1"/>
      <c r="AD154" s="1">
        <v>1559.32</v>
      </c>
      <c r="AE154" s="1"/>
      <c r="AF154" s="1"/>
      <c r="AG154" s="1"/>
      <c r="AH154" s="1"/>
      <c r="AI154" s="1"/>
      <c r="AJ154" s="1"/>
      <c r="AK154" s="1"/>
    </row>
    <row r="155" spans="1:37" s="3" customFormat="1" ht="39.950000000000003" customHeight="1" x14ac:dyDescent="0.25">
      <c r="A155" s="166">
        <v>1</v>
      </c>
      <c r="B155" s="166" t="s">
        <v>315</v>
      </c>
      <c r="C155" s="177" t="s">
        <v>298</v>
      </c>
      <c r="D155" s="168" t="s">
        <v>543</v>
      </c>
      <c r="E155" s="169">
        <v>350400</v>
      </c>
      <c r="F155" s="171">
        <v>0.96</v>
      </c>
      <c r="G155" s="171">
        <f t="shared" si="47"/>
        <v>336384</v>
      </c>
      <c r="H155" s="172">
        <f t="shared" si="43"/>
        <v>27184.400000000001</v>
      </c>
      <c r="I155" s="171">
        <f t="shared" si="39"/>
        <v>26097.02</v>
      </c>
      <c r="J155" s="137"/>
      <c r="K155" s="136"/>
      <c r="L155" s="173">
        <f t="shared" si="44"/>
        <v>323215.59999999998</v>
      </c>
      <c r="M155" s="171">
        <f t="shared" si="45"/>
        <v>310286.98</v>
      </c>
      <c r="N155" s="174">
        <f t="shared" si="46"/>
        <v>7.7579999999999996E-2</v>
      </c>
      <c r="O155" s="217"/>
      <c r="P155" s="241">
        <v>-27184.400000000001</v>
      </c>
      <c r="Q155" s="242">
        <f>F155*P155</f>
        <v>-26097.02</v>
      </c>
      <c r="R155" s="237"/>
      <c r="S155" s="1">
        <f t="shared" si="42"/>
        <v>27184.400000000001</v>
      </c>
      <c r="T155" s="1"/>
      <c r="U155" s="1"/>
      <c r="V155" s="1"/>
      <c r="W155" s="1"/>
      <c r="X155" s="1">
        <v>7848</v>
      </c>
      <c r="Y155" s="1">
        <v>19336.400000000001</v>
      </c>
      <c r="Z155" s="1"/>
      <c r="AA155" s="1"/>
      <c r="AB155" s="1"/>
      <c r="AD155" s="1"/>
      <c r="AE155" s="1"/>
      <c r="AF155" s="1"/>
      <c r="AG155" s="1"/>
      <c r="AH155" s="1"/>
      <c r="AI155" s="1"/>
      <c r="AJ155" s="1"/>
      <c r="AK155" s="1"/>
    </row>
    <row r="156" spans="1:37" s="3" customFormat="1" ht="39.950000000000003" customHeight="1" x14ac:dyDescent="0.25">
      <c r="A156" s="166">
        <v>1</v>
      </c>
      <c r="B156" s="166" t="s">
        <v>316</v>
      </c>
      <c r="C156" s="189" t="s">
        <v>299</v>
      </c>
      <c r="D156" s="190" t="s">
        <v>300</v>
      </c>
      <c r="E156" s="191">
        <v>31536</v>
      </c>
      <c r="F156" s="171">
        <v>15</v>
      </c>
      <c r="G156" s="171">
        <f t="shared" si="47"/>
        <v>473040</v>
      </c>
      <c r="H156" s="172">
        <f t="shared" si="43"/>
        <v>2446.6</v>
      </c>
      <c r="I156" s="171">
        <f t="shared" si="39"/>
        <v>36699</v>
      </c>
      <c r="J156" s="137"/>
      <c r="K156" s="136"/>
      <c r="L156" s="173">
        <f t="shared" si="44"/>
        <v>29089.4</v>
      </c>
      <c r="M156" s="171">
        <f t="shared" si="45"/>
        <v>436341</v>
      </c>
      <c r="N156" s="174">
        <f t="shared" si="46"/>
        <v>7.7579999999999996E-2</v>
      </c>
      <c r="O156" s="217"/>
      <c r="P156" s="241">
        <v>-2446.6</v>
      </c>
      <c r="Q156" s="242">
        <f>F156*P156</f>
        <v>-36699</v>
      </c>
      <c r="R156" s="237"/>
      <c r="S156" s="1">
        <f t="shared" si="42"/>
        <v>2446.6</v>
      </c>
      <c r="T156" s="1"/>
      <c r="U156" s="1"/>
      <c r="V156" s="1"/>
      <c r="W156" s="1"/>
      <c r="X156" s="1">
        <v>706.32</v>
      </c>
      <c r="Y156" s="1">
        <v>1740.28</v>
      </c>
      <c r="Z156" s="1"/>
      <c r="AA156" s="1"/>
      <c r="AB156" s="1"/>
      <c r="AD156" s="1"/>
      <c r="AE156" s="1"/>
      <c r="AF156" s="1"/>
      <c r="AG156" s="1"/>
      <c r="AH156" s="1"/>
      <c r="AI156" s="1"/>
      <c r="AJ156" s="1"/>
      <c r="AK156" s="1"/>
    </row>
    <row r="157" spans="1:37" s="3" customFormat="1" ht="39.950000000000003" customHeight="1" x14ac:dyDescent="0.25">
      <c r="A157" s="156">
        <v>1</v>
      </c>
      <c r="B157" s="156" t="s">
        <v>317</v>
      </c>
      <c r="C157" s="157" t="s">
        <v>231</v>
      </c>
      <c r="D157" s="158" t="s">
        <v>135</v>
      </c>
      <c r="E157" s="159">
        <v>4758.5</v>
      </c>
      <c r="F157" s="161">
        <v>9.43</v>
      </c>
      <c r="G157" s="161">
        <f t="shared" si="47"/>
        <v>44872.66</v>
      </c>
      <c r="H157" s="162">
        <f t="shared" si="43"/>
        <v>4758.5</v>
      </c>
      <c r="I157" s="161">
        <f t="shared" si="39"/>
        <v>44872.66</v>
      </c>
      <c r="J157" s="135"/>
      <c r="K157" s="136">
        <f t="shared" si="40"/>
        <v>0</v>
      </c>
      <c r="L157" s="163">
        <f t="shared" si="44"/>
        <v>0</v>
      </c>
      <c r="M157" s="161">
        <f t="shared" si="45"/>
        <v>0</v>
      </c>
      <c r="N157" s="164">
        <f t="shared" si="46"/>
        <v>1</v>
      </c>
      <c r="O157" s="217"/>
      <c r="P157" s="235"/>
      <c r="Q157" s="236"/>
      <c r="R157" s="237"/>
      <c r="S157" s="1">
        <f t="shared" si="42"/>
        <v>4758.5</v>
      </c>
      <c r="T157" s="1"/>
      <c r="U157" s="1"/>
      <c r="V157" s="1"/>
      <c r="W157" s="1"/>
      <c r="X157" s="1">
        <v>741.2</v>
      </c>
      <c r="Y157" s="1">
        <v>428.73</v>
      </c>
      <c r="Z157" s="1">
        <v>2834.58</v>
      </c>
      <c r="AA157" s="1">
        <v>753.99</v>
      </c>
      <c r="AB157" s="1"/>
      <c r="AD157" s="1"/>
      <c r="AE157" s="1"/>
      <c r="AF157" s="1"/>
      <c r="AG157" s="1"/>
      <c r="AH157" s="1"/>
      <c r="AI157" s="1"/>
      <c r="AJ157" s="1"/>
      <c r="AK157" s="1"/>
    </row>
    <row r="158" spans="1:37" s="3" customFormat="1" ht="39.950000000000003" customHeight="1" x14ac:dyDescent="0.25">
      <c r="A158" s="216">
        <v>1</v>
      </c>
      <c r="B158" s="210" t="s">
        <v>43</v>
      </c>
      <c r="C158" s="49" t="s">
        <v>301</v>
      </c>
      <c r="D158" s="50" t="s">
        <v>135</v>
      </c>
      <c r="E158" s="59">
        <v>2500</v>
      </c>
      <c r="F158" s="206">
        <v>77.83</v>
      </c>
      <c r="G158" s="206">
        <f>E158*F158</f>
        <v>194575</v>
      </c>
      <c r="H158" s="207">
        <f t="shared" si="43"/>
        <v>2500</v>
      </c>
      <c r="I158" s="206">
        <f t="shared" si="39"/>
        <v>194575</v>
      </c>
      <c r="J158" s="135"/>
      <c r="K158" s="136">
        <f t="shared" si="40"/>
        <v>0</v>
      </c>
      <c r="L158" s="208">
        <f t="shared" si="44"/>
        <v>0</v>
      </c>
      <c r="M158" s="206">
        <f t="shared" si="45"/>
        <v>0</v>
      </c>
      <c r="N158" s="214">
        <f t="shared" si="46"/>
        <v>1</v>
      </c>
      <c r="O158" s="217"/>
      <c r="P158" s="249"/>
      <c r="Q158" s="250"/>
      <c r="R158" s="237"/>
      <c r="S158" s="1">
        <f t="shared" si="42"/>
        <v>2500</v>
      </c>
      <c r="T158" s="1"/>
      <c r="U158" s="1"/>
      <c r="V158" s="1"/>
      <c r="W158" s="1"/>
      <c r="X158" s="1">
        <v>274.68</v>
      </c>
      <c r="Y158" s="1">
        <v>315.62</v>
      </c>
      <c r="Z158" s="1">
        <v>1370.09</v>
      </c>
      <c r="AA158" s="1">
        <v>408.54</v>
      </c>
      <c r="AB158" s="1"/>
      <c r="AD158" s="1">
        <v>131.07</v>
      </c>
      <c r="AE158" s="1"/>
      <c r="AF158" s="1"/>
      <c r="AG158" s="1"/>
      <c r="AH158" s="1"/>
      <c r="AI158" s="1"/>
      <c r="AJ158" s="1"/>
      <c r="AK158" s="1"/>
    </row>
    <row r="159" spans="1:37" s="3" customFormat="1" ht="39.950000000000003" customHeight="1" x14ac:dyDescent="0.25">
      <c r="A159" s="156">
        <v>1</v>
      </c>
      <c r="B159" s="192" t="s">
        <v>318</v>
      </c>
      <c r="C159" s="195" t="s">
        <v>302</v>
      </c>
      <c r="D159" s="158" t="s">
        <v>135</v>
      </c>
      <c r="E159" s="159">
        <v>400</v>
      </c>
      <c r="F159" s="161">
        <v>90.12</v>
      </c>
      <c r="G159" s="161">
        <f t="shared" ref="G159:G180" si="48">E159*F159</f>
        <v>36048</v>
      </c>
      <c r="H159" s="162">
        <f t="shared" si="43"/>
        <v>400</v>
      </c>
      <c r="I159" s="161">
        <f t="shared" si="39"/>
        <v>36048</v>
      </c>
      <c r="J159" s="135"/>
      <c r="K159" s="136">
        <f t="shared" si="40"/>
        <v>0</v>
      </c>
      <c r="L159" s="163">
        <f t="shared" si="44"/>
        <v>0</v>
      </c>
      <c r="M159" s="161">
        <f t="shared" si="45"/>
        <v>0</v>
      </c>
      <c r="N159" s="164">
        <f t="shared" si="46"/>
        <v>1</v>
      </c>
      <c r="O159" s="217"/>
      <c r="P159" s="235">
        <v>131.32</v>
      </c>
      <c r="Q159" s="239">
        <f>F159*P159</f>
        <v>11834.56</v>
      </c>
      <c r="R159" s="237"/>
      <c r="S159" s="1">
        <f t="shared" si="42"/>
        <v>400</v>
      </c>
      <c r="T159" s="1"/>
      <c r="U159" s="1"/>
      <c r="V159" s="1"/>
      <c r="W159" s="1"/>
      <c r="X159" s="1">
        <v>117.72</v>
      </c>
      <c r="Y159" s="1">
        <v>44.76</v>
      </c>
      <c r="Z159" s="1">
        <v>237.52</v>
      </c>
      <c r="AA159" s="1"/>
      <c r="AB159" s="1"/>
      <c r="AD159" s="1"/>
      <c r="AE159" s="1"/>
      <c r="AF159" s="1"/>
      <c r="AG159" s="1"/>
      <c r="AH159" s="1"/>
      <c r="AI159" s="1"/>
      <c r="AJ159" s="1"/>
      <c r="AK159" s="1"/>
    </row>
    <row r="160" spans="1:37" s="3" customFormat="1" ht="39.950000000000003" customHeight="1" x14ac:dyDescent="0.25">
      <c r="A160" s="156">
        <v>1</v>
      </c>
      <c r="B160" s="192" t="s">
        <v>319</v>
      </c>
      <c r="C160" s="193" t="s">
        <v>303</v>
      </c>
      <c r="D160" s="158" t="s">
        <v>542</v>
      </c>
      <c r="E160" s="159">
        <v>125</v>
      </c>
      <c r="F160" s="161">
        <v>353.13</v>
      </c>
      <c r="G160" s="161">
        <f t="shared" si="48"/>
        <v>44141.25</v>
      </c>
      <c r="H160" s="162">
        <f t="shared" si="43"/>
        <v>125</v>
      </c>
      <c r="I160" s="161">
        <f t="shared" si="39"/>
        <v>44141.25</v>
      </c>
      <c r="J160" s="135"/>
      <c r="K160" s="136">
        <f t="shared" si="40"/>
        <v>0</v>
      </c>
      <c r="L160" s="163">
        <f t="shared" si="44"/>
        <v>0</v>
      </c>
      <c r="M160" s="161">
        <f t="shared" si="45"/>
        <v>0</v>
      </c>
      <c r="N160" s="164">
        <f t="shared" si="46"/>
        <v>1</v>
      </c>
      <c r="O160" s="217"/>
      <c r="P160" s="235">
        <f>71.13</f>
        <v>71.13</v>
      </c>
      <c r="Q160" s="239">
        <f>F160*P160</f>
        <v>25118.14</v>
      </c>
      <c r="R160" s="237"/>
      <c r="S160" s="1">
        <f t="shared" si="42"/>
        <v>125</v>
      </c>
      <c r="T160" s="1"/>
      <c r="U160" s="1"/>
      <c r="V160" s="1"/>
      <c r="W160" s="1"/>
      <c r="X160" s="1"/>
      <c r="Y160" s="1">
        <v>24.32</v>
      </c>
      <c r="Z160" s="1">
        <v>100.68</v>
      </c>
      <c r="AA160" s="1"/>
      <c r="AB160" s="1"/>
      <c r="AD160" s="1"/>
      <c r="AE160" s="1"/>
      <c r="AF160" s="1"/>
      <c r="AG160" s="1"/>
      <c r="AH160" s="1"/>
      <c r="AI160" s="1"/>
      <c r="AJ160" s="1"/>
      <c r="AK160" s="1"/>
    </row>
    <row r="161" spans="1:37" s="3" customFormat="1" ht="39.950000000000003" customHeight="1" x14ac:dyDescent="0.25">
      <c r="A161" s="156">
        <v>1</v>
      </c>
      <c r="B161" s="192" t="s">
        <v>44</v>
      </c>
      <c r="C161" s="193" t="s">
        <v>304</v>
      </c>
      <c r="D161" s="158" t="s">
        <v>42</v>
      </c>
      <c r="E161" s="159">
        <v>30</v>
      </c>
      <c r="F161" s="161">
        <v>1500</v>
      </c>
      <c r="G161" s="161">
        <f t="shared" si="48"/>
        <v>45000</v>
      </c>
      <c r="H161" s="162">
        <f t="shared" si="43"/>
        <v>30</v>
      </c>
      <c r="I161" s="161">
        <f t="shared" si="39"/>
        <v>45000</v>
      </c>
      <c r="J161" s="135"/>
      <c r="K161" s="136">
        <f t="shared" si="40"/>
        <v>0</v>
      </c>
      <c r="L161" s="163">
        <f t="shared" si="44"/>
        <v>0</v>
      </c>
      <c r="M161" s="161">
        <f t="shared" si="45"/>
        <v>0</v>
      </c>
      <c r="N161" s="164">
        <f t="shared" si="46"/>
        <v>1</v>
      </c>
      <c r="O161" s="217"/>
      <c r="P161" s="235">
        <f>22</f>
        <v>22</v>
      </c>
      <c r="Q161" s="239">
        <f>F161*P161</f>
        <v>33000</v>
      </c>
      <c r="R161" s="237"/>
      <c r="S161" s="1">
        <f t="shared" si="42"/>
        <v>30</v>
      </c>
      <c r="T161" s="1"/>
      <c r="U161" s="1"/>
      <c r="V161" s="1"/>
      <c r="W161" s="1"/>
      <c r="X161" s="1"/>
      <c r="Y161" s="1">
        <v>30</v>
      </c>
      <c r="Z161" s="1"/>
      <c r="AA161" s="1"/>
      <c r="AB161" s="1"/>
      <c r="AD161" s="1"/>
      <c r="AE161" s="1"/>
      <c r="AF161" s="1"/>
      <c r="AG161" s="1"/>
      <c r="AH161" s="1"/>
      <c r="AI161" s="1"/>
      <c r="AJ161" s="1"/>
      <c r="AK161" s="1"/>
    </row>
    <row r="162" spans="1:37" s="3" customFormat="1" ht="39.950000000000003" customHeight="1" x14ac:dyDescent="0.25">
      <c r="A162" s="67">
        <v>1</v>
      </c>
      <c r="B162" s="35" t="s">
        <v>47</v>
      </c>
      <c r="C162" s="49" t="s">
        <v>305</v>
      </c>
      <c r="D162" s="77" t="s">
        <v>42</v>
      </c>
      <c r="E162" s="51">
        <v>170</v>
      </c>
      <c r="F162" s="61">
        <v>3960</v>
      </c>
      <c r="G162" s="61">
        <f t="shared" si="48"/>
        <v>673200</v>
      </c>
      <c r="H162" s="54">
        <f t="shared" si="43"/>
        <v>127</v>
      </c>
      <c r="I162" s="53">
        <f t="shared" si="39"/>
        <v>502920</v>
      </c>
      <c r="J162" s="135"/>
      <c r="K162" s="136">
        <f t="shared" si="40"/>
        <v>0</v>
      </c>
      <c r="L162" s="57">
        <f t="shared" si="44"/>
        <v>43</v>
      </c>
      <c r="M162" s="61">
        <f t="shared" si="45"/>
        <v>170280</v>
      </c>
      <c r="N162" s="58">
        <f t="shared" si="46"/>
        <v>0.74705999999999995</v>
      </c>
      <c r="O162" s="217"/>
      <c r="P162" s="235"/>
      <c r="Q162" s="236"/>
      <c r="R162" s="237"/>
      <c r="S162" s="1">
        <f t="shared" si="42"/>
        <v>127</v>
      </c>
      <c r="T162" s="1"/>
      <c r="U162" s="1"/>
      <c r="V162" s="1"/>
      <c r="W162" s="1"/>
      <c r="X162" s="1"/>
      <c r="Y162" s="1"/>
      <c r="Z162" s="1">
        <v>16</v>
      </c>
      <c r="AA162" s="1">
        <v>111</v>
      </c>
      <c r="AB162" s="1"/>
      <c r="AD162" s="1"/>
      <c r="AE162" s="1"/>
      <c r="AF162" s="1"/>
      <c r="AG162" s="1"/>
      <c r="AH162" s="1"/>
      <c r="AI162" s="1"/>
      <c r="AJ162" s="1"/>
      <c r="AK162" s="1"/>
    </row>
    <row r="163" spans="1:37" s="3" customFormat="1" ht="39.950000000000003" customHeight="1" x14ac:dyDescent="0.25">
      <c r="A163" s="156">
        <v>1</v>
      </c>
      <c r="B163" s="192" t="s">
        <v>48</v>
      </c>
      <c r="C163" s="193" t="s">
        <v>306</v>
      </c>
      <c r="D163" s="158" t="s">
        <v>42</v>
      </c>
      <c r="E163" s="159">
        <v>60</v>
      </c>
      <c r="F163" s="161">
        <v>3960</v>
      </c>
      <c r="G163" s="161">
        <f t="shared" si="48"/>
        <v>237600</v>
      </c>
      <c r="H163" s="162">
        <f t="shared" si="43"/>
        <v>60</v>
      </c>
      <c r="I163" s="161">
        <f t="shared" si="39"/>
        <v>237600</v>
      </c>
      <c r="J163" s="135"/>
      <c r="K163" s="136">
        <f t="shared" si="40"/>
        <v>0</v>
      </c>
      <c r="L163" s="163">
        <f t="shared" si="44"/>
        <v>0</v>
      </c>
      <c r="M163" s="161">
        <f t="shared" si="45"/>
        <v>0</v>
      </c>
      <c r="N163" s="164">
        <f t="shared" si="46"/>
        <v>1</v>
      </c>
      <c r="O163" s="217"/>
      <c r="P163" s="235"/>
      <c r="Q163" s="236"/>
      <c r="R163" s="237"/>
      <c r="S163" s="1">
        <f t="shared" si="42"/>
        <v>60</v>
      </c>
      <c r="T163" s="1"/>
      <c r="U163" s="1"/>
      <c r="V163" s="1"/>
      <c r="W163" s="1"/>
      <c r="X163" s="1"/>
      <c r="Y163" s="1"/>
      <c r="Z163" s="1">
        <v>60</v>
      </c>
      <c r="AA163" s="1"/>
      <c r="AB163" s="1"/>
      <c r="AD163" s="1"/>
      <c r="AE163" s="1"/>
      <c r="AF163" s="1"/>
      <c r="AG163" s="1"/>
      <c r="AH163" s="1"/>
      <c r="AI163" s="1"/>
      <c r="AJ163" s="1"/>
      <c r="AK163" s="1"/>
    </row>
    <row r="164" spans="1:37" s="3" customFormat="1" ht="39.950000000000003" customHeight="1" x14ac:dyDescent="0.25">
      <c r="A164" s="67">
        <v>1</v>
      </c>
      <c r="B164" s="35" t="s">
        <v>49</v>
      </c>
      <c r="C164" s="49" t="s">
        <v>307</v>
      </c>
      <c r="D164" s="77" t="s">
        <v>124</v>
      </c>
      <c r="E164" s="51">
        <v>500</v>
      </c>
      <c r="F164" s="61">
        <v>84.45</v>
      </c>
      <c r="G164" s="61">
        <f t="shared" si="48"/>
        <v>42225</v>
      </c>
      <c r="H164" s="54">
        <f t="shared" si="43"/>
        <v>403.03</v>
      </c>
      <c r="I164" s="53">
        <f t="shared" si="39"/>
        <v>34035.879999999997</v>
      </c>
      <c r="J164" s="135"/>
      <c r="K164" s="136">
        <f t="shared" si="40"/>
        <v>0</v>
      </c>
      <c r="L164" s="57">
        <f t="shared" si="44"/>
        <v>96.97</v>
      </c>
      <c r="M164" s="61">
        <f t="shared" si="45"/>
        <v>8189.12</v>
      </c>
      <c r="N164" s="58">
        <f t="shared" si="46"/>
        <v>0.80606</v>
      </c>
      <c r="O164" s="217"/>
      <c r="P164" s="235"/>
      <c r="Q164" s="236"/>
      <c r="R164" s="237"/>
      <c r="S164" s="1">
        <f t="shared" si="42"/>
        <v>403.03</v>
      </c>
      <c r="T164" s="1"/>
      <c r="U164" s="1"/>
      <c r="V164" s="1"/>
      <c r="W164" s="1"/>
      <c r="X164" s="1"/>
      <c r="Y164" s="1">
        <v>230.88</v>
      </c>
      <c r="Z164" s="1">
        <v>65.22</v>
      </c>
      <c r="AA164" s="1"/>
      <c r="AB164" s="1"/>
      <c r="AD164" s="1">
        <v>106.93</v>
      </c>
      <c r="AE164" s="1"/>
      <c r="AF164" s="1"/>
      <c r="AG164" s="1"/>
      <c r="AH164" s="1"/>
      <c r="AI164" s="1"/>
      <c r="AJ164" s="1"/>
      <c r="AK164" s="1"/>
    </row>
    <row r="165" spans="1:37" s="3" customFormat="1" ht="39.950000000000003" customHeight="1" x14ac:dyDescent="0.25">
      <c r="A165" s="156">
        <v>1</v>
      </c>
      <c r="B165" s="192" t="s">
        <v>50</v>
      </c>
      <c r="C165" s="193" t="s">
        <v>308</v>
      </c>
      <c r="D165" s="158" t="s">
        <v>135</v>
      </c>
      <c r="E165" s="159">
        <v>68</v>
      </c>
      <c r="F165" s="161">
        <v>375.5</v>
      </c>
      <c r="G165" s="161">
        <f t="shared" si="48"/>
        <v>25534</v>
      </c>
      <c r="H165" s="162">
        <f t="shared" si="43"/>
        <v>68</v>
      </c>
      <c r="I165" s="161">
        <f t="shared" si="39"/>
        <v>25534</v>
      </c>
      <c r="J165" s="135"/>
      <c r="K165" s="136">
        <f t="shared" si="40"/>
        <v>0</v>
      </c>
      <c r="L165" s="163">
        <f t="shared" si="44"/>
        <v>0</v>
      </c>
      <c r="M165" s="161">
        <f t="shared" si="45"/>
        <v>0</v>
      </c>
      <c r="N165" s="164">
        <f t="shared" si="46"/>
        <v>1</v>
      </c>
      <c r="O165" s="218"/>
      <c r="P165" s="235">
        <v>78.88</v>
      </c>
      <c r="Q165" s="239">
        <f>P165*F165</f>
        <v>29619.439999999999</v>
      </c>
      <c r="R165" s="237"/>
      <c r="S165" s="1">
        <f t="shared" si="42"/>
        <v>68</v>
      </c>
      <c r="T165" s="1"/>
      <c r="U165" s="1"/>
      <c r="V165" s="1"/>
      <c r="W165" s="1"/>
      <c r="X165" s="1"/>
      <c r="Y165" s="1">
        <v>29.82</v>
      </c>
      <c r="Z165" s="1">
        <v>38.18</v>
      </c>
      <c r="AA165" s="1"/>
      <c r="AB165" s="1"/>
      <c r="AD165" s="1"/>
      <c r="AE165" s="1"/>
      <c r="AF165" s="1"/>
      <c r="AG165" s="1"/>
      <c r="AH165" s="1"/>
      <c r="AI165" s="1"/>
      <c r="AJ165" s="1"/>
      <c r="AK165" s="1"/>
    </row>
    <row r="166" spans="1:37" s="3" customFormat="1" ht="39.950000000000003" customHeight="1" x14ac:dyDescent="0.25">
      <c r="A166" s="67">
        <v>1</v>
      </c>
      <c r="B166" s="35" t="s">
        <v>51</v>
      </c>
      <c r="C166" s="76" t="s">
        <v>161</v>
      </c>
      <c r="D166" s="77" t="s">
        <v>46</v>
      </c>
      <c r="E166" s="59">
        <v>6630</v>
      </c>
      <c r="F166" s="61">
        <v>6.78</v>
      </c>
      <c r="G166" s="61">
        <f t="shared" si="48"/>
        <v>44951.4</v>
      </c>
      <c r="H166" s="54">
        <f t="shared" si="43"/>
        <v>6548</v>
      </c>
      <c r="I166" s="53">
        <f t="shared" si="39"/>
        <v>44395.44</v>
      </c>
      <c r="J166" s="135"/>
      <c r="K166" s="136">
        <f t="shared" si="40"/>
        <v>0</v>
      </c>
      <c r="L166" s="57">
        <f t="shared" si="44"/>
        <v>82</v>
      </c>
      <c r="M166" s="61">
        <f t="shared" si="45"/>
        <v>555.96</v>
      </c>
      <c r="N166" s="58">
        <f t="shared" si="46"/>
        <v>0.98763000000000001</v>
      </c>
      <c r="O166" s="217"/>
      <c r="P166" s="235"/>
      <c r="Q166" s="236"/>
      <c r="R166" s="237"/>
      <c r="S166" s="1">
        <f t="shared" si="42"/>
        <v>6548</v>
      </c>
      <c r="T166" s="1"/>
      <c r="U166" s="1"/>
      <c r="V166" s="1"/>
      <c r="W166" s="1"/>
      <c r="X166" s="1"/>
      <c r="Y166" s="1">
        <v>2286</v>
      </c>
      <c r="Z166" s="1"/>
      <c r="AA166" s="1"/>
      <c r="AB166" s="1"/>
      <c r="AD166" s="1">
        <v>4262</v>
      </c>
      <c r="AE166" s="1"/>
      <c r="AF166" s="1"/>
      <c r="AG166" s="1"/>
      <c r="AH166" s="1"/>
      <c r="AI166" s="1"/>
      <c r="AJ166" s="1"/>
      <c r="AK166" s="1"/>
    </row>
    <row r="167" spans="1:37" s="3" customFormat="1" ht="39.950000000000003" customHeight="1" x14ac:dyDescent="0.25">
      <c r="A167" s="156">
        <v>1</v>
      </c>
      <c r="B167" s="192" t="s">
        <v>52</v>
      </c>
      <c r="C167" s="193" t="s">
        <v>309</v>
      </c>
      <c r="D167" s="158" t="s">
        <v>542</v>
      </c>
      <c r="E167" s="159">
        <v>8080</v>
      </c>
      <c r="F167" s="161">
        <v>3.75</v>
      </c>
      <c r="G167" s="161">
        <f t="shared" si="48"/>
        <v>30300</v>
      </c>
      <c r="H167" s="162">
        <f t="shared" si="43"/>
        <v>8080</v>
      </c>
      <c r="I167" s="161">
        <f t="shared" si="39"/>
        <v>30300</v>
      </c>
      <c r="J167" s="135"/>
      <c r="K167" s="136">
        <f t="shared" si="40"/>
        <v>0</v>
      </c>
      <c r="L167" s="163">
        <f t="shared" si="44"/>
        <v>0</v>
      </c>
      <c r="M167" s="161">
        <f t="shared" si="45"/>
        <v>0</v>
      </c>
      <c r="N167" s="164">
        <f t="shared" si="46"/>
        <v>1</v>
      </c>
      <c r="O167" s="217"/>
      <c r="P167" s="235">
        <v>1086.6500000000001</v>
      </c>
      <c r="Q167" s="239">
        <f>F167*P167</f>
        <v>4074.94</v>
      </c>
      <c r="R167" s="237"/>
      <c r="S167" s="1">
        <f t="shared" si="42"/>
        <v>8080</v>
      </c>
      <c r="T167" s="1"/>
      <c r="U167" s="1"/>
      <c r="V167" s="1"/>
      <c r="W167" s="1"/>
      <c r="X167" s="1"/>
      <c r="Y167" s="1">
        <v>1533.25</v>
      </c>
      <c r="Z167" s="1">
        <v>6546.75</v>
      </c>
      <c r="AA167" s="1"/>
      <c r="AB167" s="1"/>
      <c r="AD167" s="1"/>
      <c r="AE167" s="1"/>
      <c r="AF167" s="1"/>
      <c r="AG167" s="1"/>
      <c r="AH167" s="1"/>
      <c r="AI167" s="1"/>
      <c r="AJ167" s="1"/>
      <c r="AK167" s="1"/>
    </row>
    <row r="168" spans="1:37" s="3" customFormat="1" ht="39.950000000000003" customHeight="1" x14ac:dyDescent="0.25">
      <c r="A168" s="166">
        <v>1</v>
      </c>
      <c r="B168" s="194" t="s">
        <v>53</v>
      </c>
      <c r="C168" s="177" t="s">
        <v>310</v>
      </c>
      <c r="D168" s="168" t="s">
        <v>543</v>
      </c>
      <c r="E168" s="169">
        <v>161600</v>
      </c>
      <c r="F168" s="171">
        <v>0.77</v>
      </c>
      <c r="G168" s="171">
        <f t="shared" si="48"/>
        <v>124432</v>
      </c>
      <c r="H168" s="172">
        <f t="shared" si="43"/>
        <v>30665</v>
      </c>
      <c r="I168" s="171">
        <f t="shared" si="39"/>
        <v>23612.05</v>
      </c>
      <c r="J168" s="137"/>
      <c r="K168" s="136">
        <f t="shared" si="40"/>
        <v>0</v>
      </c>
      <c r="L168" s="173">
        <f t="shared" si="44"/>
        <v>130935</v>
      </c>
      <c r="M168" s="171">
        <f t="shared" si="45"/>
        <v>100819.95</v>
      </c>
      <c r="N168" s="174">
        <f t="shared" si="46"/>
        <v>0.18976000000000001</v>
      </c>
      <c r="O168" s="217"/>
      <c r="P168" s="235"/>
      <c r="Q168" s="236"/>
      <c r="R168" s="237"/>
      <c r="S168" s="1">
        <f t="shared" si="42"/>
        <v>30665</v>
      </c>
      <c r="T168" s="1"/>
      <c r="U168" s="1"/>
      <c r="V168" s="1"/>
      <c r="W168" s="1"/>
      <c r="X168" s="1"/>
      <c r="Y168" s="1">
        <v>30665</v>
      </c>
      <c r="Z168" s="1"/>
      <c r="AA168" s="1"/>
      <c r="AB168" s="1"/>
      <c r="AD168" s="1"/>
      <c r="AE168" s="1"/>
      <c r="AF168" s="1"/>
      <c r="AG168" s="1"/>
      <c r="AH168" s="1"/>
      <c r="AI168" s="1"/>
      <c r="AJ168" s="1"/>
      <c r="AK168" s="1"/>
    </row>
    <row r="169" spans="1:37" s="3" customFormat="1" ht="39.950000000000003" customHeight="1" x14ac:dyDescent="0.25">
      <c r="A169" s="156">
        <v>1</v>
      </c>
      <c r="B169" s="192" t="s">
        <v>320</v>
      </c>
      <c r="C169" s="193" t="s">
        <v>311</v>
      </c>
      <c r="D169" s="158" t="s">
        <v>542</v>
      </c>
      <c r="E169" s="159">
        <v>8080</v>
      </c>
      <c r="F169" s="161">
        <v>2.65</v>
      </c>
      <c r="G169" s="161">
        <f t="shared" si="48"/>
        <v>21412</v>
      </c>
      <c r="H169" s="162">
        <f t="shared" si="43"/>
        <v>8080</v>
      </c>
      <c r="I169" s="161">
        <f t="shared" si="39"/>
        <v>21412</v>
      </c>
      <c r="J169" s="135"/>
      <c r="K169" s="136">
        <f t="shared" si="40"/>
        <v>0</v>
      </c>
      <c r="L169" s="163">
        <f t="shared" si="44"/>
        <v>0</v>
      </c>
      <c r="M169" s="161">
        <f t="shared" si="45"/>
        <v>0</v>
      </c>
      <c r="N169" s="164">
        <f t="shared" si="46"/>
        <v>1</v>
      </c>
      <c r="O169" s="217"/>
      <c r="P169" s="235">
        <f>2118.05-839.04</f>
        <v>1279.01</v>
      </c>
      <c r="Q169" s="239">
        <f>P169*F169</f>
        <v>3389.38</v>
      </c>
      <c r="R169" s="237"/>
      <c r="S169" s="1">
        <f t="shared" si="42"/>
        <v>8080</v>
      </c>
      <c r="T169" s="1"/>
      <c r="U169" s="1"/>
      <c r="V169" s="1"/>
      <c r="W169" s="1"/>
      <c r="X169" s="1"/>
      <c r="Y169" s="1"/>
      <c r="Z169" s="1">
        <v>6495.78</v>
      </c>
      <c r="AA169" s="1">
        <v>745.18</v>
      </c>
      <c r="AB169" s="1">
        <v>839.04</v>
      </c>
      <c r="AD169" s="1"/>
      <c r="AE169" s="1"/>
      <c r="AF169" s="1"/>
      <c r="AG169" s="1"/>
      <c r="AH169" s="1"/>
      <c r="AI169" s="1"/>
      <c r="AJ169" s="1"/>
      <c r="AK169" s="1"/>
    </row>
    <row r="170" spans="1:37" s="3" customFormat="1" ht="39.950000000000003" customHeight="1" x14ac:dyDescent="0.25">
      <c r="A170" s="156">
        <v>1</v>
      </c>
      <c r="B170" s="192" t="s">
        <v>321</v>
      </c>
      <c r="C170" s="193" t="s">
        <v>242</v>
      </c>
      <c r="D170" s="158" t="s">
        <v>42</v>
      </c>
      <c r="E170" s="159">
        <v>140</v>
      </c>
      <c r="F170" s="161">
        <v>821.25</v>
      </c>
      <c r="G170" s="161">
        <f t="shared" si="48"/>
        <v>114975</v>
      </c>
      <c r="H170" s="162">
        <f t="shared" si="43"/>
        <v>140</v>
      </c>
      <c r="I170" s="161">
        <f t="shared" si="39"/>
        <v>114975</v>
      </c>
      <c r="J170" s="135"/>
      <c r="K170" s="136">
        <f t="shared" si="40"/>
        <v>0</v>
      </c>
      <c r="L170" s="163">
        <f t="shared" si="44"/>
        <v>0</v>
      </c>
      <c r="M170" s="161">
        <f t="shared" si="45"/>
        <v>0</v>
      </c>
      <c r="N170" s="164">
        <f t="shared" si="46"/>
        <v>1</v>
      </c>
      <c r="O170" s="217"/>
      <c r="P170" s="235">
        <f>2</f>
        <v>2</v>
      </c>
      <c r="Q170" s="239">
        <f>P170*F170</f>
        <v>1642.5</v>
      </c>
      <c r="R170" s="237"/>
      <c r="S170" s="1">
        <f t="shared" si="42"/>
        <v>140</v>
      </c>
      <c r="T170" s="1"/>
      <c r="U170" s="1"/>
      <c r="V170" s="1"/>
      <c r="W170" s="1"/>
      <c r="X170" s="1">
        <v>109</v>
      </c>
      <c r="Y170" s="1">
        <v>31</v>
      </c>
      <c r="Z170" s="1"/>
      <c r="AA170" s="1"/>
      <c r="AB170" s="1"/>
      <c r="AD170" s="1"/>
      <c r="AE170" s="1"/>
      <c r="AF170" s="1"/>
      <c r="AG170" s="1"/>
      <c r="AH170" s="1"/>
      <c r="AI170" s="1"/>
      <c r="AJ170" s="1"/>
      <c r="AK170" s="1"/>
    </row>
    <row r="171" spans="1:37" s="3" customFormat="1" ht="39.950000000000003" customHeight="1" x14ac:dyDescent="0.25">
      <c r="A171" s="309" t="s">
        <v>497</v>
      </c>
      <c r="B171" s="310"/>
      <c r="C171" s="310"/>
      <c r="D171" s="310"/>
      <c r="E171" s="310"/>
      <c r="F171" s="311"/>
      <c r="G171" s="62">
        <f>SUM(G152:G170)</f>
        <v>2682055.41</v>
      </c>
      <c r="H171" s="63"/>
      <c r="I171" s="62">
        <f>SUM(I152:I170)</f>
        <v>1534350.84</v>
      </c>
      <c r="J171" s="64"/>
      <c r="K171" s="62">
        <f>SUM(K152:K170)</f>
        <v>10692.7</v>
      </c>
      <c r="L171" s="65"/>
      <c r="M171" s="62">
        <f>SUM(M152:M170)</f>
        <v>1147704.57</v>
      </c>
      <c r="N171" s="66">
        <f t="shared" si="46"/>
        <v>0.57208000000000003</v>
      </c>
      <c r="O171" s="217"/>
      <c r="P171" s="235"/>
      <c r="Q171" s="236"/>
      <c r="R171" s="237"/>
      <c r="S171" s="1">
        <f t="shared" si="42"/>
        <v>0</v>
      </c>
      <c r="T171" s="1"/>
      <c r="U171" s="1"/>
      <c r="V171" s="1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I171" s="1"/>
      <c r="AJ171" s="1"/>
      <c r="AK171" s="1"/>
    </row>
    <row r="172" spans="1:37" s="3" customFormat="1" ht="39.950000000000003" customHeight="1" x14ac:dyDescent="0.25">
      <c r="A172" s="47">
        <v>1</v>
      </c>
      <c r="B172" s="47" t="s">
        <v>103</v>
      </c>
      <c r="C172" s="291" t="s">
        <v>322</v>
      </c>
      <c r="D172" s="292"/>
      <c r="E172" s="292"/>
      <c r="F172" s="292"/>
      <c r="G172" s="292"/>
      <c r="H172" s="292"/>
      <c r="I172" s="292"/>
      <c r="J172" s="292"/>
      <c r="K172" s="292"/>
      <c r="L172" s="292"/>
      <c r="M172" s="292"/>
      <c r="N172" s="293"/>
      <c r="O172" s="217"/>
      <c r="P172" s="235"/>
      <c r="Q172" s="236"/>
      <c r="R172" s="237"/>
      <c r="S172" s="1">
        <f t="shared" si="42"/>
        <v>0</v>
      </c>
      <c r="T172" s="1"/>
      <c r="U172" s="1"/>
      <c r="V172" s="1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I172" s="1"/>
      <c r="AJ172" s="1"/>
      <c r="AK172" s="1"/>
    </row>
    <row r="173" spans="1:37" s="3" customFormat="1" ht="39.950000000000003" customHeight="1" x14ac:dyDescent="0.25">
      <c r="A173" s="67">
        <v>1</v>
      </c>
      <c r="B173" s="67" t="s">
        <v>198</v>
      </c>
      <c r="C173" s="89" t="s">
        <v>323</v>
      </c>
      <c r="D173" s="90" t="s">
        <v>135</v>
      </c>
      <c r="E173" s="72">
        <v>9059.51</v>
      </c>
      <c r="F173" s="61">
        <v>10.25</v>
      </c>
      <c r="G173" s="61">
        <f t="shared" ref="G173:G179" si="49">E173*F173</f>
        <v>92859.98</v>
      </c>
      <c r="H173" s="54">
        <f t="shared" ref="H173:H184" si="50">S173+J173</f>
        <v>4153.1000000000004</v>
      </c>
      <c r="I173" s="53">
        <f t="shared" si="39"/>
        <v>42569.279999999999</v>
      </c>
      <c r="J173" s="135"/>
      <c r="K173" s="136">
        <f t="shared" si="40"/>
        <v>0</v>
      </c>
      <c r="L173" s="57">
        <f t="shared" ref="L173:L184" si="51">E173-H173</f>
        <v>4906.41</v>
      </c>
      <c r="M173" s="61">
        <f t="shared" ref="M173:M184" si="52">L173*F173</f>
        <v>50290.7</v>
      </c>
      <c r="N173" s="58">
        <f t="shared" ref="N173:N185" si="53">IF(G173=0,"",I173/G173)</f>
        <v>0.45841999999999999</v>
      </c>
      <c r="O173" s="217"/>
      <c r="P173" s="235"/>
      <c r="Q173" s="236"/>
      <c r="R173" s="237"/>
      <c r="S173" s="1">
        <f t="shared" si="42"/>
        <v>4153.1000000000004</v>
      </c>
      <c r="T173" s="1"/>
      <c r="U173" s="1"/>
      <c r="V173" s="1"/>
      <c r="W173" s="1">
        <v>1022.5</v>
      </c>
      <c r="X173" s="1">
        <v>840</v>
      </c>
      <c r="Y173" s="1">
        <v>1234.7</v>
      </c>
      <c r="Z173" s="1">
        <v>161.81</v>
      </c>
      <c r="AA173" s="1"/>
      <c r="AB173" s="1"/>
      <c r="AC173" s="3">
        <v>894.09</v>
      </c>
      <c r="AD173" s="1"/>
      <c r="AE173" s="1"/>
      <c r="AF173" s="1"/>
      <c r="AG173" s="1"/>
      <c r="AH173" s="1"/>
      <c r="AI173" s="1"/>
      <c r="AJ173" s="1"/>
      <c r="AK173" s="1"/>
    </row>
    <row r="174" spans="1:37" s="3" customFormat="1" ht="39.950000000000003" customHeight="1" x14ac:dyDescent="0.25">
      <c r="A174" s="166">
        <v>1</v>
      </c>
      <c r="B174" s="166" t="s">
        <v>329</v>
      </c>
      <c r="C174" s="189" t="s">
        <v>324</v>
      </c>
      <c r="D174" s="190" t="s">
        <v>137</v>
      </c>
      <c r="E174" s="191">
        <v>181190.2</v>
      </c>
      <c r="F174" s="171">
        <v>0.96</v>
      </c>
      <c r="G174" s="171">
        <f t="shared" si="49"/>
        <v>173942.59</v>
      </c>
      <c r="H174" s="172">
        <f t="shared" si="50"/>
        <v>61944</v>
      </c>
      <c r="I174" s="171">
        <f t="shared" si="39"/>
        <v>59466.239999999998</v>
      </c>
      <c r="J174" s="137"/>
      <c r="K174" s="136">
        <f t="shared" si="40"/>
        <v>0</v>
      </c>
      <c r="L174" s="173">
        <f t="shared" si="51"/>
        <v>119246.2</v>
      </c>
      <c r="M174" s="171">
        <f t="shared" si="52"/>
        <v>114476.35</v>
      </c>
      <c r="N174" s="174">
        <f t="shared" si="53"/>
        <v>0.34187000000000001</v>
      </c>
      <c r="O174" s="217"/>
      <c r="P174" s="241">
        <v>-61944</v>
      </c>
      <c r="Q174" s="242">
        <f>F174*P174</f>
        <v>-59466.239999999998</v>
      </c>
      <c r="R174" s="237"/>
      <c r="S174" s="1">
        <f t="shared" si="42"/>
        <v>61944</v>
      </c>
      <c r="T174" s="1"/>
      <c r="U174" s="1"/>
      <c r="V174" s="1"/>
      <c r="W174" s="1">
        <v>20450</v>
      </c>
      <c r="X174" s="1">
        <v>16800</v>
      </c>
      <c r="Y174" s="1">
        <v>24694</v>
      </c>
      <c r="Z174" s="1"/>
      <c r="AA174" s="1"/>
      <c r="AB174" s="1"/>
      <c r="AD174" s="1"/>
      <c r="AE174" s="1"/>
      <c r="AF174" s="1"/>
      <c r="AG174" s="1"/>
      <c r="AH174" s="1"/>
      <c r="AI174" s="1"/>
      <c r="AJ174" s="1"/>
      <c r="AK174" s="1"/>
    </row>
    <row r="175" spans="1:37" s="3" customFormat="1" ht="39.950000000000003" customHeight="1" x14ac:dyDescent="0.25">
      <c r="A175" s="166">
        <v>1</v>
      </c>
      <c r="B175" s="166" t="s">
        <v>330</v>
      </c>
      <c r="C175" s="189" t="s">
        <v>299</v>
      </c>
      <c r="D175" s="190" t="s">
        <v>300</v>
      </c>
      <c r="E175" s="191">
        <v>16307.12</v>
      </c>
      <c r="F175" s="171">
        <v>15</v>
      </c>
      <c r="G175" s="171">
        <f t="shared" si="49"/>
        <v>244606.8</v>
      </c>
      <c r="H175" s="172">
        <f t="shared" si="50"/>
        <v>5574.96</v>
      </c>
      <c r="I175" s="171">
        <f t="shared" si="39"/>
        <v>83624.399999999994</v>
      </c>
      <c r="J175" s="137"/>
      <c r="K175" s="136">
        <f t="shared" si="40"/>
        <v>0</v>
      </c>
      <c r="L175" s="173">
        <f t="shared" si="51"/>
        <v>10732.16</v>
      </c>
      <c r="M175" s="171">
        <f t="shared" si="52"/>
        <v>160982.39999999999</v>
      </c>
      <c r="N175" s="174">
        <f t="shared" si="53"/>
        <v>0.34187000000000001</v>
      </c>
      <c r="O175" s="217"/>
      <c r="P175" s="241">
        <v>-5574.96</v>
      </c>
      <c r="Q175" s="242">
        <f>F175*P175</f>
        <v>-83624.399999999994</v>
      </c>
      <c r="R175" s="237"/>
      <c r="S175" s="1">
        <f t="shared" si="42"/>
        <v>5574.96</v>
      </c>
      <c r="T175" s="1"/>
      <c r="U175" s="1"/>
      <c r="V175" s="1"/>
      <c r="W175" s="1"/>
      <c r="X175" s="1">
        <v>3352.5</v>
      </c>
      <c r="Y175" s="1">
        <v>2222.46</v>
      </c>
      <c r="Z175" s="1"/>
      <c r="AA175" s="1"/>
      <c r="AB175" s="1"/>
      <c r="AD175" s="1"/>
      <c r="AE175" s="1"/>
      <c r="AF175" s="1"/>
      <c r="AG175" s="1"/>
      <c r="AH175" s="1"/>
      <c r="AI175" s="1"/>
      <c r="AJ175" s="1"/>
      <c r="AK175" s="1"/>
    </row>
    <row r="176" spans="1:37" s="3" customFormat="1" ht="39.950000000000003" customHeight="1" x14ac:dyDescent="0.25">
      <c r="A176" s="156">
        <v>1</v>
      </c>
      <c r="B176" s="156" t="s">
        <v>331</v>
      </c>
      <c r="C176" s="196" t="s">
        <v>325</v>
      </c>
      <c r="D176" s="197" t="s">
        <v>135</v>
      </c>
      <c r="E176" s="198">
        <v>935.36</v>
      </c>
      <c r="F176" s="161">
        <v>77.83</v>
      </c>
      <c r="G176" s="161">
        <f t="shared" si="49"/>
        <v>72799.070000000007</v>
      </c>
      <c r="H176" s="162">
        <f t="shared" si="50"/>
        <v>935.36</v>
      </c>
      <c r="I176" s="161">
        <f t="shared" si="39"/>
        <v>72799.070000000007</v>
      </c>
      <c r="J176" s="137"/>
      <c r="K176" s="138">
        <f t="shared" si="40"/>
        <v>0</v>
      </c>
      <c r="L176" s="163">
        <f t="shared" si="51"/>
        <v>0</v>
      </c>
      <c r="M176" s="161">
        <f t="shared" si="52"/>
        <v>0</v>
      </c>
      <c r="N176" s="164">
        <f t="shared" si="53"/>
        <v>1</v>
      </c>
      <c r="O176" s="217"/>
      <c r="P176" s="235">
        <f>1620.67</f>
        <v>1620.67</v>
      </c>
      <c r="Q176" s="239">
        <f>P176*F176</f>
        <v>126136.75</v>
      </c>
      <c r="R176" s="237"/>
      <c r="S176" s="1">
        <f t="shared" si="42"/>
        <v>935.36</v>
      </c>
      <c r="T176" s="1"/>
      <c r="U176" s="1"/>
      <c r="V176" s="1"/>
      <c r="W176" s="1">
        <v>371</v>
      </c>
      <c r="X176" s="1">
        <v>350</v>
      </c>
      <c r="Y176" s="1">
        <v>1195.99</v>
      </c>
      <c r="Z176" s="1">
        <v>-981.63</v>
      </c>
      <c r="AA176" s="1"/>
      <c r="AB176" s="1"/>
      <c r="AD176" s="1"/>
      <c r="AE176" s="1"/>
      <c r="AF176" s="1"/>
      <c r="AG176" s="1"/>
      <c r="AH176" s="1"/>
      <c r="AI176" s="1"/>
      <c r="AJ176" s="1"/>
      <c r="AK176" s="1"/>
    </row>
    <row r="177" spans="1:37" s="3" customFormat="1" ht="64.5" customHeight="1" x14ac:dyDescent="0.25">
      <c r="A177" s="156">
        <v>1</v>
      </c>
      <c r="B177" s="156" t="s">
        <v>332</v>
      </c>
      <c r="C177" s="199" t="s">
        <v>326</v>
      </c>
      <c r="D177" s="197" t="s">
        <v>135</v>
      </c>
      <c r="E177" s="200">
        <v>284.25</v>
      </c>
      <c r="F177" s="161">
        <v>512.13</v>
      </c>
      <c r="G177" s="161">
        <f t="shared" si="49"/>
        <v>145572.95000000001</v>
      </c>
      <c r="H177" s="162">
        <f t="shared" si="50"/>
        <v>284.25</v>
      </c>
      <c r="I177" s="161">
        <f t="shared" si="39"/>
        <v>145572.95000000001</v>
      </c>
      <c r="J177" s="135"/>
      <c r="K177" s="136">
        <f t="shared" si="40"/>
        <v>0</v>
      </c>
      <c r="L177" s="163">
        <f t="shared" si="51"/>
        <v>0</v>
      </c>
      <c r="M177" s="161">
        <f t="shared" si="52"/>
        <v>0</v>
      </c>
      <c r="N177" s="164">
        <f t="shared" si="53"/>
        <v>1</v>
      </c>
      <c r="O177" s="217"/>
      <c r="P177" s="235">
        <v>16.25</v>
      </c>
      <c r="Q177" s="239">
        <f>P177*F177</f>
        <v>8322.11</v>
      </c>
      <c r="R177" s="237"/>
      <c r="S177" s="1">
        <f t="shared" si="42"/>
        <v>284.25</v>
      </c>
      <c r="T177" s="1"/>
      <c r="U177" s="1"/>
      <c r="V177" s="1">
        <v>71</v>
      </c>
      <c r="W177" s="1">
        <v>27.2</v>
      </c>
      <c r="X177" s="1">
        <v>27.2</v>
      </c>
      <c r="Y177" s="1">
        <v>60.66</v>
      </c>
      <c r="Z177" s="1">
        <v>98.19</v>
      </c>
      <c r="AA177" s="1"/>
      <c r="AB177" s="1"/>
      <c r="AD177" s="1"/>
      <c r="AE177" s="1"/>
      <c r="AF177" s="1"/>
      <c r="AG177" s="1"/>
      <c r="AH177" s="1"/>
      <c r="AI177" s="1"/>
      <c r="AJ177" s="1"/>
      <c r="AK177" s="1"/>
    </row>
    <row r="178" spans="1:37" s="3" customFormat="1" ht="72.75" customHeight="1" x14ac:dyDescent="0.25">
      <c r="A178" s="156">
        <v>1</v>
      </c>
      <c r="B178" s="156" t="s">
        <v>333</v>
      </c>
      <c r="C178" s="199" t="s">
        <v>327</v>
      </c>
      <c r="D178" s="197" t="s">
        <v>135</v>
      </c>
      <c r="E178" s="200">
        <v>1733.5</v>
      </c>
      <c r="F178" s="161">
        <v>406.9</v>
      </c>
      <c r="G178" s="161">
        <f t="shared" si="49"/>
        <v>705361.15</v>
      </c>
      <c r="H178" s="162">
        <f t="shared" si="50"/>
        <v>1733.5</v>
      </c>
      <c r="I178" s="161">
        <f t="shared" si="39"/>
        <v>705361.15</v>
      </c>
      <c r="J178" s="135"/>
      <c r="K178" s="136">
        <f t="shared" si="40"/>
        <v>0</v>
      </c>
      <c r="L178" s="163">
        <f t="shared" si="51"/>
        <v>0</v>
      </c>
      <c r="M178" s="161">
        <f t="shared" si="52"/>
        <v>0</v>
      </c>
      <c r="N178" s="201">
        <f t="shared" si="53"/>
        <v>1</v>
      </c>
      <c r="O178" s="217"/>
      <c r="P178" s="235">
        <f>361.5</f>
        <v>361.5</v>
      </c>
      <c r="Q178" s="239">
        <f>P178*F178</f>
        <v>147094.35</v>
      </c>
      <c r="R178" s="237"/>
      <c r="S178" s="1">
        <f t="shared" si="42"/>
        <v>1733.5</v>
      </c>
      <c r="T178" s="1"/>
      <c r="U178" s="1"/>
      <c r="V178" s="1">
        <v>430</v>
      </c>
      <c r="W178" s="1">
        <v>202.5</v>
      </c>
      <c r="X178" s="1">
        <v>202.5</v>
      </c>
      <c r="Y178" s="1">
        <v>485.35</v>
      </c>
      <c r="Z178" s="1">
        <v>413.15</v>
      </c>
      <c r="AA178" s="1"/>
      <c r="AB178" s="1"/>
      <c r="AD178" s="1"/>
      <c r="AE178" s="1"/>
      <c r="AF178" s="1"/>
      <c r="AG178" s="1"/>
      <c r="AH178" s="1"/>
      <c r="AI178" s="1"/>
      <c r="AJ178" s="1"/>
      <c r="AK178" s="1"/>
    </row>
    <row r="179" spans="1:37" s="3" customFormat="1" ht="78" customHeight="1" x14ac:dyDescent="0.25">
      <c r="A179" s="156">
        <v>1</v>
      </c>
      <c r="B179" s="156" t="s">
        <v>334</v>
      </c>
      <c r="C179" s="295" t="s">
        <v>328</v>
      </c>
      <c r="D179" s="197" t="s">
        <v>124</v>
      </c>
      <c r="E179" s="200">
        <v>1114</v>
      </c>
      <c r="F179" s="161">
        <v>173.47</v>
      </c>
      <c r="G179" s="161">
        <f t="shared" si="49"/>
        <v>193245.58</v>
      </c>
      <c r="H179" s="162">
        <f t="shared" si="50"/>
        <v>1114</v>
      </c>
      <c r="I179" s="161">
        <f t="shared" si="39"/>
        <v>193245.58</v>
      </c>
      <c r="J179" s="135"/>
      <c r="K179" s="136">
        <f t="shared" si="40"/>
        <v>0</v>
      </c>
      <c r="L179" s="163">
        <f t="shared" si="51"/>
        <v>0</v>
      </c>
      <c r="M179" s="161">
        <f t="shared" si="52"/>
        <v>0</v>
      </c>
      <c r="N179" s="69">
        <f t="shared" si="53"/>
        <v>1</v>
      </c>
      <c r="O179" s="217"/>
      <c r="P179" s="235"/>
      <c r="Q179" s="236"/>
      <c r="R179" s="237"/>
      <c r="S179" s="1">
        <f t="shared" si="42"/>
        <v>1114</v>
      </c>
      <c r="T179" s="1"/>
      <c r="U179" s="1"/>
      <c r="V179" s="1">
        <v>278.3</v>
      </c>
      <c r="W179" s="1">
        <v>108</v>
      </c>
      <c r="X179" s="1">
        <v>108</v>
      </c>
      <c r="Y179" s="1">
        <v>184</v>
      </c>
      <c r="Z179" s="1">
        <v>71.7</v>
      </c>
      <c r="AA179" s="1"/>
      <c r="AB179" s="1"/>
      <c r="AD179" s="1"/>
      <c r="AE179" s="1">
        <v>364</v>
      </c>
      <c r="AF179" s="1"/>
      <c r="AG179" s="1"/>
      <c r="AH179" s="1"/>
      <c r="AI179" s="1"/>
      <c r="AJ179" s="1"/>
      <c r="AK179" s="1"/>
    </row>
    <row r="180" spans="1:37" s="3" customFormat="1" ht="61.5" customHeight="1" x14ac:dyDescent="0.25">
      <c r="A180" s="166">
        <v>1</v>
      </c>
      <c r="B180" s="166" t="s">
        <v>335</v>
      </c>
      <c r="C180" s="202" t="s">
        <v>552</v>
      </c>
      <c r="D180" s="190" t="s">
        <v>124</v>
      </c>
      <c r="E180" s="203">
        <v>8050</v>
      </c>
      <c r="F180" s="171">
        <v>9.65</v>
      </c>
      <c r="G180" s="171">
        <f t="shared" si="48"/>
        <v>77682.5</v>
      </c>
      <c r="H180" s="172">
        <f t="shared" si="50"/>
        <v>4869.5</v>
      </c>
      <c r="I180" s="171">
        <f t="shared" si="39"/>
        <v>46990.68</v>
      </c>
      <c r="J180" s="137"/>
      <c r="K180" s="136">
        <f t="shared" si="40"/>
        <v>0</v>
      </c>
      <c r="L180" s="173">
        <f t="shared" si="51"/>
        <v>3180.5</v>
      </c>
      <c r="M180" s="171">
        <f t="shared" si="52"/>
        <v>30691.83</v>
      </c>
      <c r="N180" s="204">
        <f t="shared" si="53"/>
        <v>0.60489999999999999</v>
      </c>
      <c r="O180" s="217"/>
      <c r="P180" s="241">
        <f>-3588.5</f>
        <v>-3588.5</v>
      </c>
      <c r="Q180" s="242">
        <f>P180*F180</f>
        <v>-34629.03</v>
      </c>
      <c r="R180" s="237"/>
      <c r="S180" s="1">
        <f t="shared" si="42"/>
        <v>4869.5</v>
      </c>
      <c r="T180" s="1"/>
      <c r="U180" s="1"/>
      <c r="V180" s="1">
        <v>4025</v>
      </c>
      <c r="W180" s="1">
        <v>106</v>
      </c>
      <c r="X180" s="1">
        <v>106</v>
      </c>
      <c r="Y180" s="1">
        <v>632.5</v>
      </c>
      <c r="Z180" s="1"/>
      <c r="AA180" s="1"/>
      <c r="AB180" s="1"/>
      <c r="AD180" s="1"/>
      <c r="AE180" s="1"/>
      <c r="AF180" s="1"/>
      <c r="AG180" s="1"/>
      <c r="AH180" s="1"/>
      <c r="AI180" s="1"/>
      <c r="AJ180" s="1"/>
      <c r="AK180" s="1"/>
    </row>
    <row r="181" spans="1:37" s="3" customFormat="1" ht="39.950000000000003" customHeight="1" x14ac:dyDescent="0.25">
      <c r="A181" s="210">
        <v>1</v>
      </c>
      <c r="B181" s="210" t="s">
        <v>336</v>
      </c>
      <c r="C181" s="211" t="s">
        <v>570</v>
      </c>
      <c r="D181" s="212" t="s">
        <v>124</v>
      </c>
      <c r="E181" s="213">
        <v>3700</v>
      </c>
      <c r="F181" s="206">
        <v>7.67</v>
      </c>
      <c r="G181" s="206">
        <f>E181*F181</f>
        <v>28379</v>
      </c>
      <c r="H181" s="207">
        <f t="shared" si="50"/>
        <v>0</v>
      </c>
      <c r="I181" s="206">
        <f t="shared" si="39"/>
        <v>0</v>
      </c>
      <c r="J181" s="135"/>
      <c r="K181" s="136">
        <f t="shared" si="40"/>
        <v>0</v>
      </c>
      <c r="L181" s="208">
        <f t="shared" si="51"/>
        <v>3700</v>
      </c>
      <c r="M181" s="206">
        <f t="shared" si="52"/>
        <v>28379</v>
      </c>
      <c r="N181" s="214">
        <f t="shared" si="53"/>
        <v>0</v>
      </c>
      <c r="O181" s="217"/>
      <c r="P181" s="235"/>
      <c r="Q181" s="236"/>
      <c r="R181" s="237"/>
      <c r="S181" s="1">
        <f t="shared" si="42"/>
        <v>0</v>
      </c>
      <c r="T181" s="1"/>
      <c r="U181" s="1"/>
      <c r="V181" s="1"/>
      <c r="W181" s="1">
        <v>212</v>
      </c>
      <c r="X181" s="1">
        <v>212</v>
      </c>
      <c r="Y181" s="1">
        <v>-611.5</v>
      </c>
      <c r="Z181" s="1">
        <v>187.5</v>
      </c>
      <c r="AA181" s="1"/>
      <c r="AB181" s="1"/>
      <c r="AD181" s="1"/>
      <c r="AE181" s="1"/>
      <c r="AF181" s="1"/>
      <c r="AG181" s="1"/>
      <c r="AH181" s="1"/>
      <c r="AI181" s="1"/>
      <c r="AJ181" s="1"/>
      <c r="AK181" s="1"/>
    </row>
    <row r="182" spans="1:37" s="3" customFormat="1" ht="39.950000000000003" customHeight="1" x14ac:dyDescent="0.25">
      <c r="A182" s="192">
        <v>1</v>
      </c>
      <c r="B182" s="192" t="s">
        <v>337</v>
      </c>
      <c r="C182" s="193" t="s">
        <v>309</v>
      </c>
      <c r="D182" s="158" t="s">
        <v>542</v>
      </c>
      <c r="E182" s="159">
        <v>11931.98</v>
      </c>
      <c r="F182" s="161">
        <v>3.75</v>
      </c>
      <c r="G182" s="161">
        <f t="shared" ref="G182:G197" si="54">E182*F182</f>
        <v>44744.93</v>
      </c>
      <c r="H182" s="162">
        <f t="shared" si="50"/>
        <v>11931.98</v>
      </c>
      <c r="I182" s="161">
        <f t="shared" si="39"/>
        <v>44744.93</v>
      </c>
      <c r="J182" s="135"/>
      <c r="K182" s="136">
        <f t="shared" si="40"/>
        <v>0</v>
      </c>
      <c r="L182" s="163">
        <f t="shared" si="51"/>
        <v>0</v>
      </c>
      <c r="M182" s="161">
        <f t="shared" si="52"/>
        <v>0</v>
      </c>
      <c r="N182" s="58">
        <f t="shared" si="53"/>
        <v>1</v>
      </c>
      <c r="O182" s="217"/>
      <c r="P182" s="235"/>
      <c r="Q182" s="236"/>
      <c r="R182" s="237"/>
      <c r="S182" s="1">
        <f t="shared" si="42"/>
        <v>11931.98</v>
      </c>
      <c r="T182" s="1"/>
      <c r="U182" s="1"/>
      <c r="V182" s="1"/>
      <c r="W182" s="1">
        <v>2120</v>
      </c>
      <c r="X182" s="1">
        <v>2120</v>
      </c>
      <c r="Y182" s="1">
        <v>2724.36</v>
      </c>
      <c r="Z182" s="1">
        <v>1832.22</v>
      </c>
      <c r="AA182" s="1">
        <v>1686.56</v>
      </c>
      <c r="AB182" s="1"/>
      <c r="AD182" s="1"/>
      <c r="AE182" s="1">
        <v>1448.84</v>
      </c>
      <c r="AF182" s="1"/>
      <c r="AG182" s="1"/>
      <c r="AH182" s="1"/>
      <c r="AI182" s="1"/>
      <c r="AJ182" s="1"/>
      <c r="AK182" s="1"/>
    </row>
    <row r="183" spans="1:37" s="3" customFormat="1" ht="39.950000000000003" customHeight="1" x14ac:dyDescent="0.25">
      <c r="A183" s="194">
        <v>1</v>
      </c>
      <c r="B183" s="194" t="s">
        <v>338</v>
      </c>
      <c r="C183" s="177" t="s">
        <v>310</v>
      </c>
      <c r="D183" s="168" t="s">
        <v>543</v>
      </c>
      <c r="E183" s="169">
        <v>238639.6</v>
      </c>
      <c r="F183" s="171">
        <v>0.77</v>
      </c>
      <c r="G183" s="171">
        <f t="shared" si="54"/>
        <v>183752.49</v>
      </c>
      <c r="H183" s="172">
        <f t="shared" si="50"/>
        <v>139287.32</v>
      </c>
      <c r="I183" s="171">
        <f t="shared" si="39"/>
        <v>107251.24</v>
      </c>
      <c r="J183" s="137"/>
      <c r="K183" s="136">
        <f t="shared" si="40"/>
        <v>0</v>
      </c>
      <c r="L183" s="173">
        <f t="shared" si="51"/>
        <v>99352.28</v>
      </c>
      <c r="M183" s="171">
        <f t="shared" si="52"/>
        <v>76501.259999999995</v>
      </c>
      <c r="N183" s="174">
        <f t="shared" si="53"/>
        <v>0.58367000000000002</v>
      </c>
      <c r="O183" s="217"/>
      <c r="P183" s="251">
        <v>-139287.20000000001</v>
      </c>
      <c r="Q183" s="242">
        <f t="shared" ref="Q183:Q184" si="55">P183*F183</f>
        <v>-107251.14</v>
      </c>
      <c r="R183" s="237"/>
      <c r="S183" s="1">
        <f t="shared" si="42"/>
        <v>139287.32</v>
      </c>
      <c r="T183" s="1"/>
      <c r="U183" s="1"/>
      <c r="V183" s="1"/>
      <c r="W183" s="1">
        <v>42400</v>
      </c>
      <c r="X183" s="1">
        <v>42400</v>
      </c>
      <c r="Y183" s="1">
        <f>54487.2+0.12</f>
        <v>54487.32</v>
      </c>
      <c r="Z183" s="1"/>
      <c r="AA183" s="1"/>
      <c r="AB183" s="1"/>
      <c r="AD183" s="1"/>
      <c r="AE183" s="1"/>
      <c r="AF183" s="1"/>
      <c r="AG183" s="1"/>
      <c r="AH183" s="1"/>
      <c r="AI183" s="1"/>
      <c r="AJ183" s="1"/>
      <c r="AK183" s="1"/>
    </row>
    <row r="184" spans="1:37" s="3" customFormat="1" ht="39.950000000000003" customHeight="1" x14ac:dyDescent="0.25">
      <c r="A184" s="194">
        <v>1</v>
      </c>
      <c r="B184" s="194" t="s">
        <v>339</v>
      </c>
      <c r="C184" s="177" t="s">
        <v>311</v>
      </c>
      <c r="D184" s="168" t="s">
        <v>542</v>
      </c>
      <c r="E184" s="169">
        <v>11931.98</v>
      </c>
      <c r="F184" s="171">
        <v>2.65</v>
      </c>
      <c r="G184" s="171">
        <f t="shared" si="54"/>
        <v>31619.75</v>
      </c>
      <c r="H184" s="172">
        <f t="shared" si="50"/>
        <v>6003.4</v>
      </c>
      <c r="I184" s="171">
        <f t="shared" si="39"/>
        <v>15909.01</v>
      </c>
      <c r="J184" s="137"/>
      <c r="K184" s="136">
        <f t="shared" si="40"/>
        <v>0</v>
      </c>
      <c r="L184" s="173">
        <f t="shared" si="51"/>
        <v>5928.58</v>
      </c>
      <c r="M184" s="171">
        <f t="shared" si="52"/>
        <v>15710.74</v>
      </c>
      <c r="N184" s="174">
        <f t="shared" si="53"/>
        <v>0.50314000000000003</v>
      </c>
      <c r="O184" s="217"/>
      <c r="P184" s="251">
        <v>-3207.73</v>
      </c>
      <c r="Q184" s="242">
        <f t="shared" si="55"/>
        <v>-8500.48</v>
      </c>
      <c r="R184" s="237"/>
      <c r="S184" s="1">
        <f t="shared" si="42"/>
        <v>6003.4</v>
      </c>
      <c r="T184" s="1"/>
      <c r="U184" s="1"/>
      <c r="V184" s="1"/>
      <c r="W184" s="1">
        <v>2120</v>
      </c>
      <c r="X184" s="1">
        <v>2120</v>
      </c>
      <c r="Y184" s="1">
        <v>1763.4</v>
      </c>
      <c r="Z184" s="1"/>
      <c r="AA184" s="1"/>
      <c r="AB184" s="1"/>
      <c r="AD184" s="1"/>
      <c r="AE184" s="1"/>
      <c r="AF184" s="1"/>
      <c r="AG184" s="1"/>
      <c r="AH184" s="1"/>
      <c r="AI184" s="1"/>
      <c r="AJ184" s="1"/>
      <c r="AK184" s="1"/>
    </row>
    <row r="185" spans="1:37" s="3" customFormat="1" ht="39.950000000000003" customHeight="1" x14ac:dyDescent="0.25">
      <c r="A185" s="309" t="s">
        <v>498</v>
      </c>
      <c r="B185" s="310"/>
      <c r="C185" s="310"/>
      <c r="D185" s="310"/>
      <c r="E185" s="310"/>
      <c r="F185" s="311"/>
      <c r="G185" s="62">
        <f>SUM(G173:G184)</f>
        <v>1994566.79</v>
      </c>
      <c r="H185" s="63"/>
      <c r="I185" s="62">
        <f>SUM(I173:I184)</f>
        <v>1517534.53</v>
      </c>
      <c r="J185" s="64"/>
      <c r="K185" s="62">
        <f>SUM(K173:K184)</f>
        <v>0</v>
      </c>
      <c r="L185" s="65"/>
      <c r="M185" s="62">
        <f>SUM(M173:M184)</f>
        <v>477032.28</v>
      </c>
      <c r="N185" s="75">
        <f t="shared" si="53"/>
        <v>0.76080000000000003</v>
      </c>
      <c r="O185" s="217"/>
      <c r="P185" s="235"/>
      <c r="Q185" s="236"/>
      <c r="R185" s="237"/>
      <c r="S185" s="1">
        <f t="shared" si="42"/>
        <v>0</v>
      </c>
      <c r="T185" s="1"/>
      <c r="U185" s="1"/>
      <c r="V185" s="1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I185" s="1"/>
      <c r="AJ185" s="1"/>
      <c r="AK185" s="1"/>
    </row>
    <row r="186" spans="1:37" s="3" customFormat="1" ht="39.950000000000003" customHeight="1" x14ac:dyDescent="0.25">
      <c r="A186" s="47">
        <v>1</v>
      </c>
      <c r="B186" s="47" t="s">
        <v>104</v>
      </c>
      <c r="C186" s="291" t="s">
        <v>341</v>
      </c>
      <c r="D186" s="292"/>
      <c r="E186" s="292"/>
      <c r="F186" s="292"/>
      <c r="G186" s="292"/>
      <c r="H186" s="292"/>
      <c r="I186" s="292"/>
      <c r="J186" s="292"/>
      <c r="K186" s="292"/>
      <c r="L186" s="292"/>
      <c r="M186" s="292"/>
      <c r="N186" s="293"/>
      <c r="O186" s="217"/>
      <c r="P186" s="235"/>
      <c r="Q186" s="236"/>
      <c r="R186" s="237"/>
      <c r="S186" s="1">
        <f t="shared" si="42"/>
        <v>0</v>
      </c>
      <c r="T186" s="1"/>
      <c r="U186" s="1"/>
      <c r="V186" s="1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I186" s="1"/>
      <c r="AJ186" s="1"/>
      <c r="AK186" s="1"/>
    </row>
    <row r="187" spans="1:37" s="3" customFormat="1" ht="39.950000000000003" customHeight="1" x14ac:dyDescent="0.25">
      <c r="A187" s="47"/>
      <c r="B187" s="47"/>
      <c r="C187" s="291" t="s">
        <v>340</v>
      </c>
      <c r="D187" s="292"/>
      <c r="E187" s="292"/>
      <c r="F187" s="292"/>
      <c r="G187" s="292"/>
      <c r="H187" s="292"/>
      <c r="I187" s="292"/>
      <c r="J187" s="292"/>
      <c r="K187" s="292"/>
      <c r="L187" s="292"/>
      <c r="M187" s="292"/>
      <c r="N187" s="293"/>
      <c r="O187" s="217"/>
      <c r="P187" s="235"/>
      <c r="Q187" s="236"/>
      <c r="R187" s="237"/>
      <c r="S187" s="1">
        <f t="shared" si="42"/>
        <v>0</v>
      </c>
      <c r="T187" s="1"/>
      <c r="U187" s="1"/>
      <c r="V187" s="1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I187" s="1"/>
      <c r="AJ187" s="1"/>
      <c r="AK187" s="1"/>
    </row>
    <row r="188" spans="1:37" s="3" customFormat="1" ht="39.950000000000003" customHeight="1" x14ac:dyDescent="0.25">
      <c r="A188" s="67">
        <v>1</v>
      </c>
      <c r="B188" s="67" t="s">
        <v>353</v>
      </c>
      <c r="C188" s="76" t="s">
        <v>342</v>
      </c>
      <c r="D188" s="50" t="s">
        <v>124</v>
      </c>
      <c r="E188" s="51">
        <v>7200</v>
      </c>
      <c r="F188" s="52">
        <v>17.190000000000001</v>
      </c>
      <c r="G188" s="61">
        <f t="shared" si="54"/>
        <v>123768</v>
      </c>
      <c r="H188" s="54">
        <f>S188+J188</f>
        <v>0</v>
      </c>
      <c r="I188" s="55">
        <f t="shared" si="39"/>
        <v>0</v>
      </c>
      <c r="J188" s="64"/>
      <c r="K188" s="134">
        <f t="shared" si="40"/>
        <v>0</v>
      </c>
      <c r="L188" s="57">
        <f>E188-H188</f>
        <v>7200</v>
      </c>
      <c r="M188" s="61">
        <f>L188*F188</f>
        <v>123768</v>
      </c>
      <c r="N188" s="58">
        <f>IF(G188=0,"",I188/G188)</f>
        <v>0</v>
      </c>
      <c r="O188" s="217"/>
      <c r="P188" s="235"/>
      <c r="Q188" s="236"/>
      <c r="R188" s="237"/>
      <c r="S188" s="1">
        <f t="shared" si="42"/>
        <v>0</v>
      </c>
      <c r="T188" s="1"/>
      <c r="U188" s="1"/>
      <c r="V188" s="1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I188" s="1"/>
      <c r="AJ188" s="1"/>
      <c r="AK188" s="1"/>
    </row>
    <row r="189" spans="1:37" s="3" customFormat="1" ht="39.950000000000003" customHeight="1" x14ac:dyDescent="0.25">
      <c r="A189" s="67">
        <v>1</v>
      </c>
      <c r="B189" s="67" t="s">
        <v>354</v>
      </c>
      <c r="C189" s="76" t="s">
        <v>343</v>
      </c>
      <c r="D189" s="50" t="s">
        <v>124</v>
      </c>
      <c r="E189" s="51">
        <v>244</v>
      </c>
      <c r="F189" s="52">
        <v>36.270000000000003</v>
      </c>
      <c r="G189" s="61">
        <f t="shared" si="54"/>
        <v>8849.8799999999992</v>
      </c>
      <c r="H189" s="54">
        <f>S189+J189</f>
        <v>0</v>
      </c>
      <c r="I189" s="55">
        <f t="shared" si="39"/>
        <v>0</v>
      </c>
      <c r="J189" s="64"/>
      <c r="K189" s="134">
        <f t="shared" si="40"/>
        <v>0</v>
      </c>
      <c r="L189" s="57">
        <f>E189-H189</f>
        <v>244</v>
      </c>
      <c r="M189" s="61">
        <f>L189*F189</f>
        <v>8849.8799999999992</v>
      </c>
      <c r="N189" s="58">
        <f>IF(G189=0,"",I189/G189)</f>
        <v>0</v>
      </c>
      <c r="O189" s="217"/>
      <c r="P189" s="235"/>
      <c r="Q189" s="236"/>
      <c r="R189" s="237"/>
      <c r="S189" s="1">
        <f t="shared" si="42"/>
        <v>0</v>
      </c>
      <c r="T189" s="1"/>
      <c r="U189" s="1"/>
      <c r="V189" s="1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I189" s="1"/>
      <c r="AJ189" s="1"/>
      <c r="AK189" s="1"/>
    </row>
    <row r="190" spans="1:37" s="3" customFormat="1" ht="39.950000000000003" customHeight="1" x14ac:dyDescent="0.25">
      <c r="A190" s="67">
        <v>1</v>
      </c>
      <c r="B190" s="67" t="s">
        <v>355</v>
      </c>
      <c r="C190" s="76" t="s">
        <v>553</v>
      </c>
      <c r="D190" s="50" t="s">
        <v>124</v>
      </c>
      <c r="E190" s="51">
        <v>123</v>
      </c>
      <c r="F190" s="52">
        <v>36.24</v>
      </c>
      <c r="G190" s="61">
        <f t="shared" si="54"/>
        <v>4457.5200000000004</v>
      </c>
      <c r="H190" s="54">
        <f>S190+J190</f>
        <v>0</v>
      </c>
      <c r="I190" s="55">
        <f t="shared" si="39"/>
        <v>0</v>
      </c>
      <c r="J190" s="64"/>
      <c r="K190" s="134">
        <f t="shared" si="40"/>
        <v>0</v>
      </c>
      <c r="L190" s="57">
        <f>E190-H190</f>
        <v>123</v>
      </c>
      <c r="M190" s="61">
        <f>L190*F190</f>
        <v>4457.5200000000004</v>
      </c>
      <c r="N190" s="58">
        <f>IF(G190=0,"",I190/G190)</f>
        <v>0</v>
      </c>
      <c r="O190" s="217"/>
      <c r="P190" s="235"/>
      <c r="Q190" s="236"/>
      <c r="R190" s="237"/>
      <c r="S190" s="1">
        <f t="shared" si="42"/>
        <v>0</v>
      </c>
      <c r="T190" s="1"/>
      <c r="U190" s="1"/>
      <c r="V190" s="1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I190" s="1"/>
      <c r="AJ190" s="1"/>
      <c r="AK190" s="1"/>
    </row>
    <row r="191" spans="1:37" s="3" customFormat="1" ht="39.950000000000003" customHeight="1" x14ac:dyDescent="0.25">
      <c r="A191" s="67">
        <v>1</v>
      </c>
      <c r="B191" s="67" t="s">
        <v>356</v>
      </c>
      <c r="C191" s="84" t="s">
        <v>344</v>
      </c>
      <c r="D191" s="77" t="s">
        <v>345</v>
      </c>
      <c r="E191" s="51">
        <v>748</v>
      </c>
      <c r="F191" s="52">
        <v>34.97</v>
      </c>
      <c r="G191" s="61">
        <f t="shared" si="54"/>
        <v>26157.56</v>
      </c>
      <c r="H191" s="54">
        <f>S191+J191</f>
        <v>0</v>
      </c>
      <c r="I191" s="55">
        <f t="shared" si="39"/>
        <v>0</v>
      </c>
      <c r="J191" s="64"/>
      <c r="K191" s="134">
        <f t="shared" si="40"/>
        <v>0</v>
      </c>
      <c r="L191" s="57">
        <f>E191-H191</f>
        <v>748</v>
      </c>
      <c r="M191" s="61">
        <f>L191*F191</f>
        <v>26157.56</v>
      </c>
      <c r="N191" s="58">
        <f>IF(G191=0,"",I191/G191)</f>
        <v>0</v>
      </c>
      <c r="O191" s="217"/>
      <c r="P191" s="235"/>
      <c r="Q191" s="236"/>
      <c r="R191" s="237"/>
      <c r="S191" s="1">
        <f t="shared" si="42"/>
        <v>0</v>
      </c>
      <c r="T191" s="1"/>
      <c r="U191" s="1"/>
      <c r="V191" s="1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I191" s="1"/>
      <c r="AJ191" s="1"/>
      <c r="AK191" s="1"/>
    </row>
    <row r="192" spans="1:37" s="3" customFormat="1" ht="39.950000000000003" customHeight="1" x14ac:dyDescent="0.25">
      <c r="A192" s="67">
        <v>1</v>
      </c>
      <c r="B192" s="67" t="s">
        <v>357</v>
      </c>
      <c r="C192" s="84" t="s">
        <v>346</v>
      </c>
      <c r="D192" s="77" t="s">
        <v>345</v>
      </c>
      <c r="E192" s="51">
        <v>16</v>
      </c>
      <c r="F192" s="52" t="s">
        <v>347</v>
      </c>
      <c r="G192" s="61">
        <f t="shared" si="54"/>
        <v>640.16</v>
      </c>
      <c r="H192" s="54">
        <f>S192+J192</f>
        <v>0</v>
      </c>
      <c r="I192" s="55">
        <f t="shared" si="39"/>
        <v>0</v>
      </c>
      <c r="J192" s="64"/>
      <c r="K192" s="134">
        <f t="shared" si="40"/>
        <v>0</v>
      </c>
      <c r="L192" s="57">
        <f>E192-H192</f>
        <v>16</v>
      </c>
      <c r="M192" s="61">
        <f>L192*F192</f>
        <v>640.16</v>
      </c>
      <c r="N192" s="58">
        <f>IF(G192=0,"",I192/G192)</f>
        <v>0</v>
      </c>
      <c r="O192" s="217"/>
      <c r="P192" s="235"/>
      <c r="Q192" s="236"/>
      <c r="R192" s="237"/>
      <c r="S192" s="1">
        <f t="shared" si="42"/>
        <v>0</v>
      </c>
      <c r="T192" s="1"/>
      <c r="U192" s="1"/>
      <c r="V192" s="1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I192" s="1"/>
      <c r="AJ192" s="1"/>
      <c r="AK192" s="1"/>
    </row>
    <row r="193" spans="1:37" s="3" customFormat="1" ht="39.950000000000003" customHeight="1" x14ac:dyDescent="0.25">
      <c r="A193" s="47"/>
      <c r="B193" s="47"/>
      <c r="C193" s="291" t="s">
        <v>348</v>
      </c>
      <c r="D193" s="292"/>
      <c r="E193" s="292"/>
      <c r="F193" s="292"/>
      <c r="G193" s="292"/>
      <c r="H193" s="292"/>
      <c r="I193" s="292"/>
      <c r="J193" s="292"/>
      <c r="K193" s="292"/>
      <c r="L193" s="292"/>
      <c r="M193" s="292"/>
      <c r="N193" s="293"/>
      <c r="O193" s="217"/>
      <c r="P193" s="235"/>
      <c r="Q193" s="236"/>
      <c r="R193" s="237"/>
      <c r="S193" s="1">
        <f t="shared" si="42"/>
        <v>0</v>
      </c>
      <c r="T193" s="1"/>
      <c r="U193" s="1"/>
      <c r="V193" s="1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I193" s="1"/>
      <c r="AJ193" s="1"/>
      <c r="AK193" s="1"/>
    </row>
    <row r="194" spans="1:37" s="3" customFormat="1" ht="39.950000000000003" customHeight="1" x14ac:dyDescent="0.25">
      <c r="A194" s="67">
        <v>1</v>
      </c>
      <c r="B194" s="48" t="s">
        <v>358</v>
      </c>
      <c r="C194" s="91" t="s">
        <v>349</v>
      </c>
      <c r="D194" s="71" t="s">
        <v>42</v>
      </c>
      <c r="E194" s="51">
        <v>88</v>
      </c>
      <c r="F194" s="73">
        <v>84.79</v>
      </c>
      <c r="G194" s="53">
        <f t="shared" si="54"/>
        <v>7461.52</v>
      </c>
      <c r="H194" s="54">
        <f t="shared" ref="H194:H204" si="56">S194+J194</f>
        <v>0</v>
      </c>
      <c r="I194" s="55">
        <f t="shared" ref="I194:I251" si="57">H194*F194</f>
        <v>0</v>
      </c>
      <c r="J194" s="64"/>
      <c r="K194" s="134">
        <f t="shared" ref="K194:K251" si="58">J194*F194</f>
        <v>0</v>
      </c>
      <c r="L194" s="57">
        <f t="shared" ref="L194:L204" si="59">E194-H194</f>
        <v>88</v>
      </c>
      <c r="M194" s="53">
        <f t="shared" ref="M194:M204" si="60">L194*F194</f>
        <v>7461.52</v>
      </c>
      <c r="N194" s="58">
        <f t="shared" ref="N194:N204" si="61">IF(G194=0,"",I194/G194)</f>
        <v>0</v>
      </c>
      <c r="O194" s="217"/>
      <c r="P194" s="235"/>
      <c r="Q194" s="236"/>
      <c r="R194" s="237"/>
      <c r="S194" s="1">
        <f t="shared" si="42"/>
        <v>0</v>
      </c>
      <c r="T194" s="1"/>
      <c r="U194" s="1"/>
      <c r="V194" s="1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I194" s="1"/>
      <c r="AJ194" s="1"/>
      <c r="AK194" s="1"/>
    </row>
    <row r="195" spans="1:37" s="3" customFormat="1" ht="55.5" customHeight="1" x14ac:dyDescent="0.25">
      <c r="A195" s="67">
        <v>1</v>
      </c>
      <c r="B195" s="48" t="s">
        <v>359</v>
      </c>
      <c r="C195" s="92" t="s">
        <v>350</v>
      </c>
      <c r="D195" s="50" t="s">
        <v>345</v>
      </c>
      <c r="E195" s="59">
        <v>2</v>
      </c>
      <c r="F195" s="52">
        <v>382</v>
      </c>
      <c r="G195" s="61">
        <f t="shared" si="54"/>
        <v>764</v>
      </c>
      <c r="H195" s="54">
        <f t="shared" si="56"/>
        <v>0</v>
      </c>
      <c r="I195" s="55">
        <f t="shared" si="57"/>
        <v>0</v>
      </c>
      <c r="J195" s="64"/>
      <c r="K195" s="134">
        <f t="shared" si="58"/>
        <v>0</v>
      </c>
      <c r="L195" s="57">
        <f t="shared" si="59"/>
        <v>2</v>
      </c>
      <c r="M195" s="61">
        <f t="shared" si="60"/>
        <v>764</v>
      </c>
      <c r="N195" s="58">
        <f t="shared" si="61"/>
        <v>0</v>
      </c>
      <c r="O195" s="217"/>
      <c r="P195" s="235"/>
      <c r="Q195" s="236"/>
      <c r="R195" s="237"/>
      <c r="S195" s="1">
        <f t="shared" si="42"/>
        <v>0</v>
      </c>
      <c r="T195" s="1"/>
      <c r="U195" s="1"/>
      <c r="V195" s="1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I195" s="1"/>
      <c r="AJ195" s="1"/>
      <c r="AK195" s="1"/>
    </row>
    <row r="196" spans="1:37" s="3" customFormat="1" ht="39.950000000000003" customHeight="1" x14ac:dyDescent="0.25">
      <c r="A196" s="67">
        <v>1</v>
      </c>
      <c r="B196" s="48" t="s">
        <v>360</v>
      </c>
      <c r="C196" s="92" t="s">
        <v>351</v>
      </c>
      <c r="D196" s="50" t="s">
        <v>345</v>
      </c>
      <c r="E196" s="59">
        <v>4</v>
      </c>
      <c r="F196" s="52">
        <v>630</v>
      </c>
      <c r="G196" s="61">
        <f t="shared" si="54"/>
        <v>2520</v>
      </c>
      <c r="H196" s="54">
        <f t="shared" si="56"/>
        <v>0</v>
      </c>
      <c r="I196" s="55">
        <f t="shared" si="57"/>
        <v>0</v>
      </c>
      <c r="J196" s="64"/>
      <c r="K196" s="134">
        <f t="shared" si="58"/>
        <v>0</v>
      </c>
      <c r="L196" s="57">
        <f t="shared" si="59"/>
        <v>4</v>
      </c>
      <c r="M196" s="61">
        <f t="shared" si="60"/>
        <v>2520</v>
      </c>
      <c r="N196" s="58">
        <f t="shared" si="61"/>
        <v>0</v>
      </c>
      <c r="O196" s="217"/>
      <c r="P196" s="235"/>
      <c r="Q196" s="236"/>
      <c r="R196" s="237"/>
      <c r="S196" s="1">
        <f t="shared" si="42"/>
        <v>0</v>
      </c>
      <c r="T196" s="1"/>
      <c r="U196" s="1"/>
      <c r="V196" s="1"/>
      <c r="W196" s="1"/>
      <c r="X196" s="1"/>
      <c r="Y196" s="1"/>
      <c r="Z196" s="1"/>
      <c r="AA196" s="1"/>
      <c r="AB196" s="1"/>
      <c r="AD196" s="1"/>
      <c r="AE196" s="1"/>
      <c r="AF196" s="1"/>
      <c r="AG196" s="1"/>
      <c r="AH196" s="1"/>
      <c r="AI196" s="1"/>
      <c r="AJ196" s="1"/>
      <c r="AK196" s="1"/>
    </row>
    <row r="197" spans="1:37" s="3" customFormat="1" ht="70.5" customHeight="1" x14ac:dyDescent="0.25">
      <c r="A197" s="67">
        <v>1</v>
      </c>
      <c r="B197" s="48" t="s">
        <v>361</v>
      </c>
      <c r="C197" s="92" t="s">
        <v>352</v>
      </c>
      <c r="D197" s="50" t="s">
        <v>345</v>
      </c>
      <c r="E197" s="59">
        <v>12</v>
      </c>
      <c r="F197" s="52">
        <v>594</v>
      </c>
      <c r="G197" s="61">
        <f t="shared" si="54"/>
        <v>7128</v>
      </c>
      <c r="H197" s="54">
        <f t="shared" si="56"/>
        <v>0</v>
      </c>
      <c r="I197" s="55">
        <f t="shared" si="57"/>
        <v>0</v>
      </c>
      <c r="J197" s="64"/>
      <c r="K197" s="134">
        <f t="shared" si="58"/>
        <v>0</v>
      </c>
      <c r="L197" s="57">
        <f t="shared" si="59"/>
        <v>12</v>
      </c>
      <c r="M197" s="61">
        <f t="shared" si="60"/>
        <v>7128</v>
      </c>
      <c r="N197" s="58">
        <f t="shared" si="61"/>
        <v>0</v>
      </c>
      <c r="O197" s="217"/>
      <c r="P197" s="235"/>
      <c r="Q197" s="236"/>
      <c r="R197" s="237"/>
      <c r="S197" s="1">
        <f t="shared" si="42"/>
        <v>0</v>
      </c>
      <c r="T197" s="1"/>
      <c r="U197" s="1"/>
      <c r="V197" s="1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I197" s="1"/>
      <c r="AJ197" s="1"/>
      <c r="AK197" s="1"/>
    </row>
    <row r="198" spans="1:37" s="3" customFormat="1" ht="51.75" customHeight="1" x14ac:dyDescent="0.25">
      <c r="A198" s="35">
        <v>1</v>
      </c>
      <c r="B198" s="35" t="s">
        <v>369</v>
      </c>
      <c r="C198" s="92" t="s">
        <v>362</v>
      </c>
      <c r="D198" s="50" t="s">
        <v>345</v>
      </c>
      <c r="E198" s="59">
        <v>9</v>
      </c>
      <c r="F198" s="61">
        <v>810</v>
      </c>
      <c r="G198" s="61">
        <f>E198*F198</f>
        <v>7290</v>
      </c>
      <c r="H198" s="54">
        <f t="shared" si="56"/>
        <v>0</v>
      </c>
      <c r="I198" s="55">
        <f t="shared" si="57"/>
        <v>0</v>
      </c>
      <c r="J198" s="64"/>
      <c r="K198" s="134">
        <f t="shared" si="58"/>
        <v>0</v>
      </c>
      <c r="L198" s="57">
        <f t="shared" si="59"/>
        <v>9</v>
      </c>
      <c r="M198" s="61">
        <f t="shared" si="60"/>
        <v>7290</v>
      </c>
      <c r="N198" s="58">
        <f t="shared" si="61"/>
        <v>0</v>
      </c>
      <c r="O198" s="217"/>
      <c r="P198" s="235"/>
      <c r="Q198" s="236"/>
      <c r="R198" s="237"/>
      <c r="S198" s="1">
        <f t="shared" si="42"/>
        <v>0</v>
      </c>
      <c r="T198" s="1"/>
      <c r="U198" s="1"/>
      <c r="V198" s="1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I198" s="1"/>
      <c r="AJ198" s="1"/>
      <c r="AK198" s="1"/>
    </row>
    <row r="199" spans="1:37" s="3" customFormat="1" ht="39.950000000000003" customHeight="1" x14ac:dyDescent="0.25">
      <c r="A199" s="35">
        <v>1</v>
      </c>
      <c r="B199" s="35" t="s">
        <v>370</v>
      </c>
      <c r="C199" s="92" t="s">
        <v>363</v>
      </c>
      <c r="D199" s="50" t="s">
        <v>345</v>
      </c>
      <c r="E199" s="59">
        <v>9</v>
      </c>
      <c r="F199" s="61">
        <v>612</v>
      </c>
      <c r="G199" s="61">
        <f t="shared" ref="G199:G217" si="62">E199*F199</f>
        <v>5508</v>
      </c>
      <c r="H199" s="54">
        <f t="shared" si="56"/>
        <v>0</v>
      </c>
      <c r="I199" s="55">
        <f t="shared" si="57"/>
        <v>0</v>
      </c>
      <c r="J199" s="64"/>
      <c r="K199" s="134">
        <f t="shared" si="58"/>
        <v>0</v>
      </c>
      <c r="L199" s="57">
        <f t="shared" si="59"/>
        <v>9</v>
      </c>
      <c r="M199" s="61">
        <f t="shared" si="60"/>
        <v>5508</v>
      </c>
      <c r="N199" s="58">
        <f t="shared" si="61"/>
        <v>0</v>
      </c>
      <c r="O199" s="217"/>
      <c r="P199" s="235"/>
      <c r="Q199" s="236"/>
      <c r="R199" s="237"/>
      <c r="S199" s="1">
        <f t="shared" si="42"/>
        <v>0</v>
      </c>
      <c r="T199" s="1"/>
      <c r="U199" s="1"/>
      <c r="V199" s="1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I199" s="1"/>
      <c r="AJ199" s="1"/>
      <c r="AK199" s="1"/>
    </row>
    <row r="200" spans="1:37" s="3" customFormat="1" ht="39.950000000000003" customHeight="1" x14ac:dyDescent="0.25">
      <c r="A200" s="35">
        <v>1</v>
      </c>
      <c r="B200" s="35" t="s">
        <v>371</v>
      </c>
      <c r="C200" s="92" t="s">
        <v>364</v>
      </c>
      <c r="D200" s="50" t="s">
        <v>345</v>
      </c>
      <c r="E200" s="59">
        <v>2</v>
      </c>
      <c r="F200" s="61">
        <v>870</v>
      </c>
      <c r="G200" s="61">
        <f t="shared" si="62"/>
        <v>1740</v>
      </c>
      <c r="H200" s="54">
        <f t="shared" si="56"/>
        <v>0</v>
      </c>
      <c r="I200" s="55">
        <f t="shared" si="57"/>
        <v>0</v>
      </c>
      <c r="J200" s="64"/>
      <c r="K200" s="134">
        <f t="shared" si="58"/>
        <v>0</v>
      </c>
      <c r="L200" s="57">
        <f t="shared" si="59"/>
        <v>2</v>
      </c>
      <c r="M200" s="61">
        <f t="shared" si="60"/>
        <v>1740</v>
      </c>
      <c r="N200" s="58">
        <f t="shared" si="61"/>
        <v>0</v>
      </c>
      <c r="O200" s="217"/>
      <c r="P200" s="235"/>
      <c r="Q200" s="236"/>
      <c r="R200" s="237"/>
      <c r="S200" s="1">
        <f t="shared" si="42"/>
        <v>0</v>
      </c>
      <c r="T200" s="1"/>
      <c r="U200" s="1"/>
      <c r="V200" s="1"/>
      <c r="W200" s="1"/>
      <c r="X200" s="1"/>
      <c r="Y200" s="1"/>
      <c r="Z200" s="1"/>
      <c r="AA200" s="1"/>
      <c r="AB200" s="1"/>
      <c r="AD200" s="1"/>
      <c r="AE200" s="1"/>
      <c r="AF200" s="1"/>
      <c r="AG200" s="1"/>
      <c r="AH200" s="1"/>
      <c r="AI200" s="1"/>
      <c r="AJ200" s="1"/>
      <c r="AK200" s="1"/>
    </row>
    <row r="201" spans="1:37" s="3" customFormat="1" ht="39.950000000000003" customHeight="1" x14ac:dyDescent="0.25">
      <c r="A201" s="35">
        <v>1</v>
      </c>
      <c r="B201" s="35" t="s">
        <v>372</v>
      </c>
      <c r="C201" s="92" t="s">
        <v>365</v>
      </c>
      <c r="D201" s="50" t="s">
        <v>345</v>
      </c>
      <c r="E201" s="59">
        <v>4</v>
      </c>
      <c r="F201" s="61">
        <v>672</v>
      </c>
      <c r="G201" s="61">
        <f t="shared" si="62"/>
        <v>2688</v>
      </c>
      <c r="H201" s="54">
        <f t="shared" si="56"/>
        <v>0</v>
      </c>
      <c r="I201" s="55">
        <f t="shared" si="57"/>
        <v>0</v>
      </c>
      <c r="J201" s="64"/>
      <c r="K201" s="134">
        <f t="shared" si="58"/>
        <v>0</v>
      </c>
      <c r="L201" s="57">
        <f t="shared" si="59"/>
        <v>4</v>
      </c>
      <c r="M201" s="61">
        <f t="shared" si="60"/>
        <v>2688</v>
      </c>
      <c r="N201" s="58">
        <f t="shared" si="61"/>
        <v>0</v>
      </c>
      <c r="O201" s="217"/>
      <c r="P201" s="235"/>
      <c r="Q201" s="236"/>
      <c r="R201" s="237"/>
      <c r="S201" s="1">
        <f t="shared" si="42"/>
        <v>0</v>
      </c>
      <c r="T201" s="1"/>
      <c r="U201" s="1"/>
      <c r="V201" s="1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I201" s="1"/>
      <c r="AJ201" s="1"/>
      <c r="AK201" s="1"/>
    </row>
    <row r="202" spans="1:37" s="3" customFormat="1" ht="55.5" customHeight="1" x14ac:dyDescent="0.25">
      <c r="A202" s="35">
        <v>1</v>
      </c>
      <c r="B202" s="35" t="s">
        <v>373</v>
      </c>
      <c r="C202" s="80" t="s">
        <v>366</v>
      </c>
      <c r="D202" s="71" t="s">
        <v>124</v>
      </c>
      <c r="E202" s="51">
        <v>54</v>
      </c>
      <c r="F202" s="53">
        <v>917.64</v>
      </c>
      <c r="G202" s="53">
        <f t="shared" si="62"/>
        <v>49552.56</v>
      </c>
      <c r="H202" s="54">
        <f t="shared" si="56"/>
        <v>0</v>
      </c>
      <c r="I202" s="55">
        <f t="shared" si="57"/>
        <v>0</v>
      </c>
      <c r="J202" s="64"/>
      <c r="K202" s="134">
        <f t="shared" si="58"/>
        <v>0</v>
      </c>
      <c r="L202" s="57">
        <f t="shared" si="59"/>
        <v>54</v>
      </c>
      <c r="M202" s="53">
        <f t="shared" si="60"/>
        <v>49552.56</v>
      </c>
      <c r="N202" s="58">
        <f t="shared" si="61"/>
        <v>0</v>
      </c>
      <c r="O202" s="217"/>
      <c r="P202" s="235"/>
      <c r="Q202" s="236"/>
      <c r="R202" s="237"/>
      <c r="S202" s="1">
        <f t="shared" si="42"/>
        <v>0</v>
      </c>
      <c r="T202" s="1"/>
      <c r="U202" s="1"/>
      <c r="V202" s="1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I202" s="1"/>
      <c r="AJ202" s="1"/>
      <c r="AK202" s="1"/>
    </row>
    <row r="203" spans="1:37" s="3" customFormat="1" ht="50.25" customHeight="1" x14ac:dyDescent="0.25">
      <c r="A203" s="35">
        <v>1</v>
      </c>
      <c r="B203" s="35" t="s">
        <v>374</v>
      </c>
      <c r="C203" s="60" t="s">
        <v>367</v>
      </c>
      <c r="D203" s="50" t="s">
        <v>124</v>
      </c>
      <c r="E203" s="51">
        <v>6</v>
      </c>
      <c r="F203" s="61">
        <v>1036.06</v>
      </c>
      <c r="G203" s="61">
        <f t="shared" si="62"/>
        <v>6216.36</v>
      </c>
      <c r="H203" s="54">
        <f t="shared" si="56"/>
        <v>0</v>
      </c>
      <c r="I203" s="55">
        <f t="shared" si="57"/>
        <v>0</v>
      </c>
      <c r="J203" s="64"/>
      <c r="K203" s="134">
        <f t="shared" si="58"/>
        <v>0</v>
      </c>
      <c r="L203" s="57">
        <f t="shared" si="59"/>
        <v>6</v>
      </c>
      <c r="M203" s="61">
        <f t="shared" si="60"/>
        <v>6216.36</v>
      </c>
      <c r="N203" s="58">
        <f t="shared" si="61"/>
        <v>0</v>
      </c>
      <c r="O203" s="217"/>
      <c r="P203" s="235"/>
      <c r="Q203" s="236"/>
      <c r="R203" s="237"/>
      <c r="S203" s="1">
        <f t="shared" si="42"/>
        <v>0</v>
      </c>
      <c r="T203" s="1"/>
      <c r="U203" s="1"/>
      <c r="V203" s="1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I203" s="1"/>
      <c r="AJ203" s="1"/>
      <c r="AK203" s="1"/>
    </row>
    <row r="204" spans="1:37" s="3" customFormat="1" ht="39.950000000000003" customHeight="1" x14ac:dyDescent="0.25">
      <c r="A204" s="35">
        <v>1</v>
      </c>
      <c r="B204" s="35" t="s">
        <v>375</v>
      </c>
      <c r="C204" s="49" t="s">
        <v>368</v>
      </c>
      <c r="D204" s="50" t="s">
        <v>124</v>
      </c>
      <c r="E204" s="51">
        <v>60</v>
      </c>
      <c r="F204" s="61">
        <v>41.05</v>
      </c>
      <c r="G204" s="61">
        <f t="shared" si="62"/>
        <v>2463</v>
      </c>
      <c r="H204" s="54">
        <f t="shared" si="56"/>
        <v>0</v>
      </c>
      <c r="I204" s="55">
        <f t="shared" si="57"/>
        <v>0</v>
      </c>
      <c r="J204" s="64"/>
      <c r="K204" s="134">
        <f t="shared" si="58"/>
        <v>0</v>
      </c>
      <c r="L204" s="57">
        <f t="shared" si="59"/>
        <v>60</v>
      </c>
      <c r="M204" s="61">
        <f t="shared" si="60"/>
        <v>2463</v>
      </c>
      <c r="N204" s="58">
        <f t="shared" si="61"/>
        <v>0</v>
      </c>
      <c r="O204" s="217"/>
      <c r="P204" s="235"/>
      <c r="Q204" s="236"/>
      <c r="R204" s="237"/>
      <c r="S204" s="1">
        <f t="shared" si="42"/>
        <v>0</v>
      </c>
      <c r="T204" s="1"/>
      <c r="U204" s="1"/>
      <c r="V204" s="1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I204" s="1"/>
      <c r="AJ204" s="1"/>
      <c r="AK204" s="1"/>
    </row>
    <row r="205" spans="1:37" s="3" customFormat="1" ht="39.950000000000003" customHeight="1" x14ac:dyDescent="0.25">
      <c r="A205" s="47"/>
      <c r="B205" s="47"/>
      <c r="C205" s="291" t="s">
        <v>376</v>
      </c>
      <c r="D205" s="292"/>
      <c r="E205" s="292"/>
      <c r="F205" s="292"/>
      <c r="G205" s="292"/>
      <c r="H205" s="292"/>
      <c r="I205" s="292"/>
      <c r="J205" s="292"/>
      <c r="K205" s="292"/>
      <c r="L205" s="292"/>
      <c r="M205" s="292"/>
      <c r="N205" s="293"/>
      <c r="O205" s="217"/>
      <c r="P205" s="235"/>
      <c r="Q205" s="236"/>
      <c r="R205" s="237"/>
      <c r="S205" s="1">
        <f t="shared" ref="S205:S268" si="63">SUM(T205:AK205)</f>
        <v>0</v>
      </c>
      <c r="T205" s="1"/>
      <c r="U205" s="1"/>
      <c r="V205" s="1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I205" s="1"/>
      <c r="AJ205" s="1"/>
      <c r="AK205" s="1"/>
    </row>
    <row r="206" spans="1:37" s="3" customFormat="1" ht="39.950000000000003" customHeight="1" x14ac:dyDescent="0.25">
      <c r="A206" s="35">
        <v>1</v>
      </c>
      <c r="B206" s="67" t="s">
        <v>384</v>
      </c>
      <c r="C206" s="60" t="s">
        <v>377</v>
      </c>
      <c r="D206" s="50" t="s">
        <v>345</v>
      </c>
      <c r="E206" s="59">
        <v>1</v>
      </c>
      <c r="F206" s="52">
        <v>1030</v>
      </c>
      <c r="G206" s="61">
        <f t="shared" si="62"/>
        <v>1030</v>
      </c>
      <c r="H206" s="54">
        <f t="shared" ref="H206:H212" si="64">S206+J206</f>
        <v>0</v>
      </c>
      <c r="I206" s="55">
        <f t="shared" si="57"/>
        <v>0</v>
      </c>
      <c r="J206" s="64"/>
      <c r="K206" s="134">
        <f t="shared" si="58"/>
        <v>0</v>
      </c>
      <c r="L206" s="57">
        <f t="shared" ref="L206:L212" si="65">E206-H206</f>
        <v>1</v>
      </c>
      <c r="M206" s="61">
        <f t="shared" ref="M206:M212" si="66">L206*F206</f>
        <v>1030</v>
      </c>
      <c r="N206" s="58">
        <f t="shared" ref="N206:N213" si="67">IF(G206=0,"",I206/G206)</f>
        <v>0</v>
      </c>
      <c r="O206" s="217"/>
      <c r="P206" s="235"/>
      <c r="Q206" s="236"/>
      <c r="R206" s="237"/>
      <c r="S206" s="1">
        <f t="shared" si="63"/>
        <v>0</v>
      </c>
      <c r="T206" s="1"/>
      <c r="U206" s="1"/>
      <c r="V206" s="1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I206" s="1"/>
      <c r="AJ206" s="1"/>
      <c r="AK206" s="1"/>
    </row>
    <row r="207" spans="1:37" s="3" customFormat="1" ht="39.950000000000003" customHeight="1" x14ac:dyDescent="0.25">
      <c r="A207" s="35">
        <v>1</v>
      </c>
      <c r="B207" s="67" t="s">
        <v>385</v>
      </c>
      <c r="C207" s="49" t="s">
        <v>378</v>
      </c>
      <c r="D207" s="50" t="s">
        <v>345</v>
      </c>
      <c r="E207" s="59">
        <v>1</v>
      </c>
      <c r="F207" s="52">
        <v>1105</v>
      </c>
      <c r="G207" s="61">
        <f t="shared" si="62"/>
        <v>1105</v>
      </c>
      <c r="H207" s="54">
        <f t="shared" si="64"/>
        <v>0</v>
      </c>
      <c r="I207" s="55">
        <f t="shared" si="57"/>
        <v>0</v>
      </c>
      <c r="J207" s="64"/>
      <c r="K207" s="134">
        <f t="shared" si="58"/>
        <v>0</v>
      </c>
      <c r="L207" s="57">
        <f t="shared" si="65"/>
        <v>1</v>
      </c>
      <c r="M207" s="61">
        <f t="shared" si="66"/>
        <v>1105</v>
      </c>
      <c r="N207" s="58">
        <f t="shared" si="67"/>
        <v>0</v>
      </c>
      <c r="O207" s="217"/>
      <c r="P207" s="235"/>
      <c r="Q207" s="236"/>
      <c r="R207" s="237"/>
      <c r="S207" s="1">
        <f t="shared" si="63"/>
        <v>0</v>
      </c>
      <c r="T207" s="1"/>
      <c r="U207" s="1"/>
      <c r="V207" s="1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I207" s="1"/>
      <c r="AJ207" s="1"/>
      <c r="AK207" s="1"/>
    </row>
    <row r="208" spans="1:37" s="3" customFormat="1" ht="39.950000000000003" customHeight="1" x14ac:dyDescent="0.25">
      <c r="A208" s="35">
        <v>1</v>
      </c>
      <c r="B208" s="67" t="s">
        <v>386</v>
      </c>
      <c r="C208" s="49" t="s">
        <v>379</v>
      </c>
      <c r="D208" s="50" t="s">
        <v>345</v>
      </c>
      <c r="E208" s="59">
        <v>1</v>
      </c>
      <c r="F208" s="52">
        <v>112.5</v>
      </c>
      <c r="G208" s="61">
        <f t="shared" si="62"/>
        <v>112.5</v>
      </c>
      <c r="H208" s="54">
        <f t="shared" si="64"/>
        <v>0</v>
      </c>
      <c r="I208" s="55">
        <f t="shared" si="57"/>
        <v>0</v>
      </c>
      <c r="J208" s="64"/>
      <c r="K208" s="134">
        <f t="shared" si="58"/>
        <v>0</v>
      </c>
      <c r="L208" s="57">
        <f t="shared" si="65"/>
        <v>1</v>
      </c>
      <c r="M208" s="61">
        <f t="shared" si="66"/>
        <v>112.5</v>
      </c>
      <c r="N208" s="58">
        <f t="shared" si="67"/>
        <v>0</v>
      </c>
      <c r="O208" s="217"/>
      <c r="P208" s="235"/>
      <c r="Q208" s="236"/>
      <c r="R208" s="237"/>
      <c r="S208" s="1">
        <f t="shared" si="63"/>
        <v>0</v>
      </c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" customFormat="1" ht="39.950000000000003" customHeight="1" x14ac:dyDescent="0.25">
      <c r="A209" s="35">
        <v>1</v>
      </c>
      <c r="B209" s="67" t="s">
        <v>387</v>
      </c>
      <c r="C209" s="60" t="s">
        <v>380</v>
      </c>
      <c r="D209" s="50" t="s">
        <v>345</v>
      </c>
      <c r="E209" s="59">
        <v>2</v>
      </c>
      <c r="F209" s="52">
        <v>525</v>
      </c>
      <c r="G209" s="61">
        <f t="shared" si="62"/>
        <v>1050</v>
      </c>
      <c r="H209" s="54">
        <f t="shared" si="64"/>
        <v>0</v>
      </c>
      <c r="I209" s="55">
        <f t="shared" si="57"/>
        <v>0</v>
      </c>
      <c r="J209" s="64"/>
      <c r="K209" s="134">
        <f t="shared" si="58"/>
        <v>0</v>
      </c>
      <c r="L209" s="57">
        <f t="shared" si="65"/>
        <v>2</v>
      </c>
      <c r="M209" s="61">
        <f t="shared" si="66"/>
        <v>1050</v>
      </c>
      <c r="N209" s="58">
        <f t="shared" si="67"/>
        <v>0</v>
      </c>
      <c r="O209" s="217"/>
      <c r="P209" s="235"/>
      <c r="Q209" s="236"/>
      <c r="R209" s="237"/>
      <c r="S209" s="1">
        <f t="shared" si="63"/>
        <v>0</v>
      </c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" customFormat="1" ht="39.950000000000003" customHeight="1" x14ac:dyDescent="0.25">
      <c r="A210" s="35">
        <v>1</v>
      </c>
      <c r="B210" s="67" t="s">
        <v>388</v>
      </c>
      <c r="C210" s="60" t="s">
        <v>381</v>
      </c>
      <c r="D210" s="50" t="s">
        <v>345</v>
      </c>
      <c r="E210" s="59">
        <v>2</v>
      </c>
      <c r="F210" s="52">
        <v>1050</v>
      </c>
      <c r="G210" s="61">
        <f t="shared" si="62"/>
        <v>2100</v>
      </c>
      <c r="H210" s="54">
        <f t="shared" si="64"/>
        <v>0</v>
      </c>
      <c r="I210" s="55">
        <f t="shared" si="57"/>
        <v>0</v>
      </c>
      <c r="J210" s="64"/>
      <c r="K210" s="134">
        <f t="shared" si="58"/>
        <v>0</v>
      </c>
      <c r="L210" s="57">
        <f t="shared" si="65"/>
        <v>2</v>
      </c>
      <c r="M210" s="61">
        <f t="shared" si="66"/>
        <v>2100</v>
      </c>
      <c r="N210" s="58">
        <f t="shared" si="67"/>
        <v>0</v>
      </c>
      <c r="O210" s="217"/>
      <c r="P210" s="235"/>
      <c r="Q210" s="236"/>
      <c r="R210" s="237"/>
      <c r="S210" s="1">
        <f t="shared" si="63"/>
        <v>0</v>
      </c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3" customFormat="1" ht="39.950000000000003" customHeight="1" x14ac:dyDescent="0.25">
      <c r="A211" s="35">
        <v>1</v>
      </c>
      <c r="B211" s="67" t="s">
        <v>389</v>
      </c>
      <c r="C211" s="60" t="s">
        <v>382</v>
      </c>
      <c r="D211" s="50" t="s">
        <v>345</v>
      </c>
      <c r="E211" s="59">
        <v>5</v>
      </c>
      <c r="F211" s="52">
        <v>680</v>
      </c>
      <c r="G211" s="61">
        <f t="shared" si="62"/>
        <v>3400</v>
      </c>
      <c r="H211" s="54">
        <f t="shared" si="64"/>
        <v>0</v>
      </c>
      <c r="I211" s="55">
        <f t="shared" si="57"/>
        <v>0</v>
      </c>
      <c r="J211" s="64"/>
      <c r="K211" s="134">
        <f t="shared" si="58"/>
        <v>0</v>
      </c>
      <c r="L211" s="57">
        <f t="shared" si="65"/>
        <v>5</v>
      </c>
      <c r="M211" s="61">
        <f t="shared" si="66"/>
        <v>3400</v>
      </c>
      <c r="N211" s="58">
        <f t="shared" si="67"/>
        <v>0</v>
      </c>
      <c r="O211" s="217"/>
      <c r="P211" s="235"/>
      <c r="Q211" s="236"/>
      <c r="R211" s="237"/>
      <c r="S211" s="1">
        <f t="shared" si="63"/>
        <v>0</v>
      </c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" customFormat="1" ht="39.950000000000003" customHeight="1" x14ac:dyDescent="0.25">
      <c r="A212" s="35">
        <v>1</v>
      </c>
      <c r="B212" s="67" t="s">
        <v>390</v>
      </c>
      <c r="C212" s="60" t="s">
        <v>383</v>
      </c>
      <c r="D212" s="50" t="s">
        <v>345</v>
      </c>
      <c r="E212" s="59">
        <v>1</v>
      </c>
      <c r="F212" s="52">
        <v>11000</v>
      </c>
      <c r="G212" s="61">
        <f t="shared" si="62"/>
        <v>11000</v>
      </c>
      <c r="H212" s="54">
        <f t="shared" si="64"/>
        <v>0</v>
      </c>
      <c r="I212" s="55">
        <f t="shared" si="57"/>
        <v>0</v>
      </c>
      <c r="J212" s="64"/>
      <c r="K212" s="134">
        <f t="shared" si="58"/>
        <v>0</v>
      </c>
      <c r="L212" s="57">
        <f t="shared" si="65"/>
        <v>1</v>
      </c>
      <c r="M212" s="61">
        <f t="shared" si="66"/>
        <v>11000</v>
      </c>
      <c r="N212" s="58">
        <f t="shared" si="67"/>
        <v>0</v>
      </c>
      <c r="O212" s="217"/>
      <c r="P212" s="235"/>
      <c r="Q212" s="236"/>
      <c r="R212" s="237"/>
      <c r="S212" s="1">
        <f t="shared" si="63"/>
        <v>0</v>
      </c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" customFormat="1" ht="39.950000000000003" customHeight="1" x14ac:dyDescent="0.25">
      <c r="A213" s="309" t="s">
        <v>499</v>
      </c>
      <c r="B213" s="310"/>
      <c r="C213" s="310"/>
      <c r="D213" s="310"/>
      <c r="E213" s="310"/>
      <c r="F213" s="311"/>
      <c r="G213" s="62">
        <f>SUM(G188:G212)</f>
        <v>277002.06</v>
      </c>
      <c r="H213" s="63"/>
      <c r="I213" s="62">
        <f>SUM(I188:I212)</f>
        <v>0</v>
      </c>
      <c r="J213" s="64"/>
      <c r="K213" s="62">
        <f>SUM(K188:K212)</f>
        <v>0</v>
      </c>
      <c r="L213" s="65"/>
      <c r="M213" s="62">
        <f>SUM(M188:M212)</f>
        <v>277002.06</v>
      </c>
      <c r="N213" s="66">
        <f t="shared" si="67"/>
        <v>0</v>
      </c>
      <c r="O213" s="217"/>
      <c r="P213" s="235"/>
      <c r="Q213" s="236"/>
      <c r="R213" s="237"/>
      <c r="S213" s="1">
        <f t="shared" si="63"/>
        <v>0</v>
      </c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3" customFormat="1" ht="39.950000000000003" customHeight="1" x14ac:dyDescent="0.25">
      <c r="A214" s="47">
        <v>1</v>
      </c>
      <c r="B214" s="47" t="s">
        <v>105</v>
      </c>
      <c r="C214" s="291" t="s">
        <v>391</v>
      </c>
      <c r="D214" s="292"/>
      <c r="E214" s="292"/>
      <c r="F214" s="292"/>
      <c r="G214" s="292"/>
      <c r="H214" s="292"/>
      <c r="I214" s="292"/>
      <c r="J214" s="292"/>
      <c r="K214" s="292"/>
      <c r="L214" s="292"/>
      <c r="M214" s="292"/>
      <c r="N214" s="293"/>
      <c r="O214" s="217"/>
      <c r="P214" s="235"/>
      <c r="Q214" s="236"/>
      <c r="R214" s="237"/>
      <c r="S214" s="1">
        <f t="shared" si="63"/>
        <v>0</v>
      </c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3" customFormat="1" ht="108" x14ac:dyDescent="0.25">
      <c r="A215" s="67">
        <v>1</v>
      </c>
      <c r="B215" s="67" t="s">
        <v>393</v>
      </c>
      <c r="C215" s="49" t="s">
        <v>544</v>
      </c>
      <c r="D215" s="50" t="s">
        <v>392</v>
      </c>
      <c r="E215" s="59">
        <v>159</v>
      </c>
      <c r="F215" s="52">
        <v>2988.31</v>
      </c>
      <c r="G215" s="61">
        <f t="shared" si="62"/>
        <v>475141.29</v>
      </c>
      <c r="H215" s="54">
        <f t="shared" ref="H215:H226" si="68">S215+J215</f>
        <v>0</v>
      </c>
      <c r="I215" s="55">
        <f t="shared" si="57"/>
        <v>0</v>
      </c>
      <c r="J215" s="64"/>
      <c r="K215" s="134">
        <f t="shared" si="58"/>
        <v>0</v>
      </c>
      <c r="L215" s="57">
        <f t="shared" ref="L215:L226" si="69">E215-H215</f>
        <v>159</v>
      </c>
      <c r="M215" s="61">
        <f t="shared" ref="M215:M226" si="70">L215*F215</f>
        <v>475141.29</v>
      </c>
      <c r="N215" s="58">
        <f t="shared" ref="N215:N226" si="71">IF(G215=0,"",I215/G215)</f>
        <v>0</v>
      </c>
      <c r="O215" s="217"/>
      <c r="P215" s="235"/>
      <c r="Q215" s="236"/>
      <c r="R215" s="237"/>
      <c r="S215" s="1">
        <f t="shared" si="63"/>
        <v>0</v>
      </c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" customFormat="1" ht="108" x14ac:dyDescent="0.25">
      <c r="A216" s="67">
        <v>1</v>
      </c>
      <c r="B216" s="67" t="s">
        <v>394</v>
      </c>
      <c r="C216" s="84" t="s">
        <v>545</v>
      </c>
      <c r="D216" s="93" t="s">
        <v>392</v>
      </c>
      <c r="E216" s="94">
        <v>4</v>
      </c>
      <c r="F216" s="52">
        <v>4395.3500000000004</v>
      </c>
      <c r="G216" s="61">
        <f t="shared" si="62"/>
        <v>17581.400000000001</v>
      </c>
      <c r="H216" s="54">
        <f t="shared" si="68"/>
        <v>0</v>
      </c>
      <c r="I216" s="55">
        <f t="shared" si="57"/>
        <v>0</v>
      </c>
      <c r="J216" s="64"/>
      <c r="K216" s="134">
        <f t="shared" si="58"/>
        <v>0</v>
      </c>
      <c r="L216" s="57">
        <f t="shared" si="69"/>
        <v>4</v>
      </c>
      <c r="M216" s="61">
        <f t="shared" si="70"/>
        <v>17581.400000000001</v>
      </c>
      <c r="N216" s="58">
        <f t="shared" si="71"/>
        <v>0</v>
      </c>
      <c r="O216" s="217"/>
      <c r="P216" s="235"/>
      <c r="Q216" s="236"/>
      <c r="R216" s="237"/>
      <c r="S216" s="1">
        <f t="shared" si="63"/>
        <v>0</v>
      </c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" customFormat="1" ht="108" x14ac:dyDescent="0.25">
      <c r="A217" s="67">
        <v>1</v>
      </c>
      <c r="B217" s="67" t="s">
        <v>395</v>
      </c>
      <c r="C217" s="84" t="s">
        <v>546</v>
      </c>
      <c r="D217" s="93" t="s">
        <v>392</v>
      </c>
      <c r="E217" s="79">
        <v>4</v>
      </c>
      <c r="F217" s="52">
        <v>2610.5700000000002</v>
      </c>
      <c r="G217" s="61">
        <f t="shared" si="62"/>
        <v>10442.280000000001</v>
      </c>
      <c r="H217" s="54">
        <f t="shared" si="68"/>
        <v>0</v>
      </c>
      <c r="I217" s="55">
        <f t="shared" si="57"/>
        <v>0</v>
      </c>
      <c r="J217" s="64"/>
      <c r="K217" s="134">
        <f t="shared" si="58"/>
        <v>0</v>
      </c>
      <c r="L217" s="57">
        <f t="shared" si="69"/>
        <v>4</v>
      </c>
      <c r="M217" s="61">
        <f t="shared" si="70"/>
        <v>10442.280000000001</v>
      </c>
      <c r="N217" s="58">
        <f t="shared" si="71"/>
        <v>0</v>
      </c>
      <c r="O217" s="217"/>
      <c r="P217" s="235"/>
      <c r="Q217" s="236"/>
      <c r="R217" s="237"/>
      <c r="S217" s="1">
        <f t="shared" si="63"/>
        <v>0</v>
      </c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" customFormat="1" ht="108" x14ac:dyDescent="0.25">
      <c r="A218" s="35">
        <v>1</v>
      </c>
      <c r="B218" s="35" t="s">
        <v>407</v>
      </c>
      <c r="C218" s="84" t="s">
        <v>547</v>
      </c>
      <c r="D218" s="93" t="s">
        <v>392</v>
      </c>
      <c r="E218" s="79">
        <v>1</v>
      </c>
      <c r="F218" s="52">
        <v>5861.02</v>
      </c>
      <c r="G218" s="61">
        <f>E218*F218</f>
        <v>5861.02</v>
      </c>
      <c r="H218" s="54">
        <f t="shared" si="68"/>
        <v>0</v>
      </c>
      <c r="I218" s="55">
        <f t="shared" si="57"/>
        <v>0</v>
      </c>
      <c r="J218" s="64"/>
      <c r="K218" s="134">
        <f t="shared" si="58"/>
        <v>0</v>
      </c>
      <c r="L218" s="57">
        <f t="shared" si="69"/>
        <v>1</v>
      </c>
      <c r="M218" s="61">
        <f t="shared" si="70"/>
        <v>5861.02</v>
      </c>
      <c r="N218" s="58">
        <f t="shared" si="71"/>
        <v>0</v>
      </c>
      <c r="O218" s="217"/>
      <c r="P218" s="235"/>
      <c r="Q218" s="236"/>
      <c r="R218" s="237"/>
      <c r="S218" s="1">
        <f t="shared" si="63"/>
        <v>0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3" customFormat="1" ht="54" x14ac:dyDescent="0.25">
      <c r="A219" s="82">
        <v>1</v>
      </c>
      <c r="B219" s="35" t="s">
        <v>408</v>
      </c>
      <c r="C219" s="84" t="s">
        <v>396</v>
      </c>
      <c r="D219" s="93" t="s">
        <v>42</v>
      </c>
      <c r="E219" s="79">
        <v>7500</v>
      </c>
      <c r="F219" s="52">
        <v>45.89</v>
      </c>
      <c r="G219" s="61">
        <f t="shared" ref="G219:G233" si="72">E219*F219</f>
        <v>344175</v>
      </c>
      <c r="H219" s="54">
        <f t="shared" si="68"/>
        <v>0</v>
      </c>
      <c r="I219" s="55">
        <f t="shared" si="57"/>
        <v>0</v>
      </c>
      <c r="J219" s="64"/>
      <c r="K219" s="134">
        <f t="shared" si="58"/>
        <v>0</v>
      </c>
      <c r="L219" s="57">
        <f t="shared" si="69"/>
        <v>7500</v>
      </c>
      <c r="M219" s="61">
        <f t="shared" si="70"/>
        <v>344175</v>
      </c>
      <c r="N219" s="58">
        <f t="shared" si="71"/>
        <v>0</v>
      </c>
      <c r="O219" s="217"/>
      <c r="P219" s="235"/>
      <c r="Q219" s="236"/>
      <c r="R219" s="237"/>
      <c r="S219" s="1">
        <f t="shared" si="63"/>
        <v>0</v>
      </c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3" customFormat="1" ht="60.75" customHeight="1" x14ac:dyDescent="0.25">
      <c r="A220" s="67">
        <v>1</v>
      </c>
      <c r="B220" s="35" t="s">
        <v>409</v>
      </c>
      <c r="C220" s="84" t="s">
        <v>397</v>
      </c>
      <c r="D220" s="93" t="s">
        <v>42</v>
      </c>
      <c r="E220" s="79">
        <v>288</v>
      </c>
      <c r="F220" s="52">
        <v>18.329999999999998</v>
      </c>
      <c r="G220" s="61">
        <f t="shared" si="72"/>
        <v>5279.04</v>
      </c>
      <c r="H220" s="54">
        <f t="shared" si="68"/>
        <v>0</v>
      </c>
      <c r="I220" s="55">
        <f t="shared" si="57"/>
        <v>0</v>
      </c>
      <c r="J220" s="64"/>
      <c r="K220" s="134">
        <f t="shared" si="58"/>
        <v>0</v>
      </c>
      <c r="L220" s="57">
        <f t="shared" si="69"/>
        <v>288</v>
      </c>
      <c r="M220" s="61">
        <f t="shared" si="70"/>
        <v>5279.04</v>
      </c>
      <c r="N220" s="58">
        <f t="shared" si="71"/>
        <v>0</v>
      </c>
      <c r="O220" s="217"/>
      <c r="P220" s="235"/>
      <c r="Q220" s="236"/>
      <c r="R220" s="237"/>
      <c r="S220" s="1">
        <f t="shared" si="63"/>
        <v>0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3" customFormat="1" ht="50.25" customHeight="1" x14ac:dyDescent="0.25">
      <c r="A221" s="67">
        <v>1</v>
      </c>
      <c r="B221" s="35" t="s">
        <v>410</v>
      </c>
      <c r="C221" s="84" t="s">
        <v>398</v>
      </c>
      <c r="D221" s="93" t="s">
        <v>392</v>
      </c>
      <c r="E221" s="79">
        <v>217</v>
      </c>
      <c r="F221" s="52">
        <v>224.95</v>
      </c>
      <c r="G221" s="61">
        <f t="shared" si="72"/>
        <v>48814.15</v>
      </c>
      <c r="H221" s="54">
        <f t="shared" si="68"/>
        <v>0</v>
      </c>
      <c r="I221" s="55">
        <f t="shared" si="57"/>
        <v>0</v>
      </c>
      <c r="J221" s="64"/>
      <c r="K221" s="134">
        <f t="shared" si="58"/>
        <v>0</v>
      </c>
      <c r="L221" s="57">
        <f t="shared" si="69"/>
        <v>217</v>
      </c>
      <c r="M221" s="61">
        <f t="shared" si="70"/>
        <v>48814.15</v>
      </c>
      <c r="N221" s="58">
        <f t="shared" si="71"/>
        <v>0</v>
      </c>
      <c r="O221" s="217"/>
      <c r="P221" s="235"/>
      <c r="Q221" s="236"/>
      <c r="R221" s="237"/>
      <c r="S221" s="1">
        <f t="shared" si="63"/>
        <v>0</v>
      </c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" customFormat="1" ht="39.950000000000003" customHeight="1" x14ac:dyDescent="0.25">
      <c r="A222" s="67">
        <v>1</v>
      </c>
      <c r="B222" s="35" t="s">
        <v>411</v>
      </c>
      <c r="C222" s="84" t="s">
        <v>399</v>
      </c>
      <c r="D222" s="93" t="s">
        <v>392</v>
      </c>
      <c r="E222" s="79">
        <v>6</v>
      </c>
      <c r="F222" s="52">
        <v>3653.88</v>
      </c>
      <c r="G222" s="61">
        <f t="shared" si="72"/>
        <v>21923.279999999999</v>
      </c>
      <c r="H222" s="54">
        <f t="shared" si="68"/>
        <v>0</v>
      </c>
      <c r="I222" s="55">
        <f t="shared" si="57"/>
        <v>0</v>
      </c>
      <c r="J222" s="64"/>
      <c r="K222" s="134">
        <f t="shared" si="58"/>
        <v>0</v>
      </c>
      <c r="L222" s="57">
        <f t="shared" si="69"/>
        <v>6</v>
      </c>
      <c r="M222" s="61">
        <f t="shared" si="70"/>
        <v>21923.279999999999</v>
      </c>
      <c r="N222" s="58">
        <f t="shared" si="71"/>
        <v>0</v>
      </c>
      <c r="O222" s="217"/>
      <c r="P222" s="235"/>
      <c r="Q222" s="236"/>
      <c r="R222" s="237"/>
      <c r="S222" s="1">
        <f t="shared" si="63"/>
        <v>0</v>
      </c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3" customFormat="1" ht="39.950000000000003" customHeight="1" x14ac:dyDescent="0.25">
      <c r="A223" s="67">
        <v>1</v>
      </c>
      <c r="B223" s="35" t="s">
        <v>412</v>
      </c>
      <c r="C223" s="84" t="s">
        <v>400</v>
      </c>
      <c r="D223" s="93" t="s">
        <v>392</v>
      </c>
      <c r="E223" s="79">
        <v>18</v>
      </c>
      <c r="F223" s="52">
        <v>774.4</v>
      </c>
      <c r="G223" s="61">
        <f t="shared" si="72"/>
        <v>13939.2</v>
      </c>
      <c r="H223" s="54">
        <f t="shared" si="68"/>
        <v>0</v>
      </c>
      <c r="I223" s="55">
        <f t="shared" si="57"/>
        <v>0</v>
      </c>
      <c r="J223" s="64"/>
      <c r="K223" s="134">
        <f t="shared" si="58"/>
        <v>0</v>
      </c>
      <c r="L223" s="57">
        <f t="shared" si="69"/>
        <v>18</v>
      </c>
      <c r="M223" s="61">
        <f t="shared" si="70"/>
        <v>13939.2</v>
      </c>
      <c r="N223" s="58">
        <f t="shared" si="71"/>
        <v>0</v>
      </c>
      <c r="O223" s="217"/>
      <c r="P223" s="235"/>
      <c r="Q223" s="236"/>
      <c r="R223" s="237"/>
      <c r="S223" s="1">
        <f t="shared" si="63"/>
        <v>0</v>
      </c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3" customFormat="1" ht="39.950000000000003" customHeight="1" x14ac:dyDescent="0.25">
      <c r="A224" s="67">
        <v>1</v>
      </c>
      <c r="B224" s="35" t="s">
        <v>413</v>
      </c>
      <c r="C224" s="84" t="s">
        <v>401</v>
      </c>
      <c r="D224" s="93" t="s">
        <v>392</v>
      </c>
      <c r="E224" s="79">
        <v>6</v>
      </c>
      <c r="F224" s="52">
        <v>1093.17</v>
      </c>
      <c r="G224" s="61">
        <f t="shared" si="72"/>
        <v>6559.02</v>
      </c>
      <c r="H224" s="54">
        <f t="shared" si="68"/>
        <v>0</v>
      </c>
      <c r="I224" s="55">
        <f t="shared" si="57"/>
        <v>0</v>
      </c>
      <c r="J224" s="64"/>
      <c r="K224" s="134">
        <f t="shared" si="58"/>
        <v>0</v>
      </c>
      <c r="L224" s="57">
        <f t="shared" si="69"/>
        <v>6</v>
      </c>
      <c r="M224" s="61">
        <f t="shared" si="70"/>
        <v>6559.02</v>
      </c>
      <c r="N224" s="58">
        <f t="shared" si="71"/>
        <v>0</v>
      </c>
      <c r="O224" s="217"/>
      <c r="P224" s="235"/>
      <c r="Q224" s="236"/>
      <c r="R224" s="237"/>
      <c r="S224" s="1">
        <f t="shared" si="63"/>
        <v>0</v>
      </c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3" customFormat="1" ht="39.950000000000003" customHeight="1" x14ac:dyDescent="0.25">
      <c r="A225" s="95">
        <v>1</v>
      </c>
      <c r="B225" s="35" t="s">
        <v>414</v>
      </c>
      <c r="C225" s="70" t="s">
        <v>402</v>
      </c>
      <c r="D225" s="96" t="s">
        <v>42</v>
      </c>
      <c r="E225" s="79">
        <v>22500</v>
      </c>
      <c r="F225" s="73">
        <v>9.7799999999999994</v>
      </c>
      <c r="G225" s="53">
        <f t="shared" si="72"/>
        <v>220050</v>
      </c>
      <c r="H225" s="54">
        <f t="shared" si="68"/>
        <v>0</v>
      </c>
      <c r="I225" s="55">
        <f t="shared" si="57"/>
        <v>0</v>
      </c>
      <c r="J225" s="64"/>
      <c r="K225" s="134">
        <f t="shared" si="58"/>
        <v>0</v>
      </c>
      <c r="L225" s="57">
        <f t="shared" si="69"/>
        <v>22500</v>
      </c>
      <c r="M225" s="53">
        <f t="shared" si="70"/>
        <v>220050</v>
      </c>
      <c r="N225" s="58">
        <f t="shared" si="71"/>
        <v>0</v>
      </c>
      <c r="O225" s="217"/>
      <c r="P225" s="235"/>
      <c r="Q225" s="236"/>
      <c r="R225" s="237"/>
      <c r="S225" s="1">
        <f t="shared" si="63"/>
        <v>0</v>
      </c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" customFormat="1" ht="39.950000000000003" customHeight="1" x14ac:dyDescent="0.25">
      <c r="A226" s="67">
        <v>1</v>
      </c>
      <c r="B226" s="35" t="s">
        <v>415</v>
      </c>
      <c r="C226" s="84" t="s">
        <v>403</v>
      </c>
      <c r="D226" s="93" t="s">
        <v>404</v>
      </c>
      <c r="E226" s="79">
        <v>56</v>
      </c>
      <c r="F226" s="52">
        <v>115.63</v>
      </c>
      <c r="G226" s="61">
        <f t="shared" si="72"/>
        <v>6475.28</v>
      </c>
      <c r="H226" s="54">
        <f t="shared" si="68"/>
        <v>0</v>
      </c>
      <c r="I226" s="55">
        <f t="shared" si="57"/>
        <v>0</v>
      </c>
      <c r="J226" s="64"/>
      <c r="K226" s="134">
        <f t="shared" si="58"/>
        <v>0</v>
      </c>
      <c r="L226" s="57">
        <f t="shared" si="69"/>
        <v>56</v>
      </c>
      <c r="M226" s="61">
        <f t="shared" si="70"/>
        <v>6475.28</v>
      </c>
      <c r="N226" s="58">
        <f t="shared" si="71"/>
        <v>0</v>
      </c>
      <c r="O226" s="217"/>
      <c r="P226" s="235"/>
      <c r="Q226" s="236"/>
      <c r="R226" s="237"/>
      <c r="S226" s="1">
        <f t="shared" si="63"/>
        <v>0</v>
      </c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3" customFormat="1" ht="39.950000000000003" customHeight="1" x14ac:dyDescent="0.25">
      <c r="A227" s="47"/>
      <c r="B227" s="47"/>
      <c r="C227" s="291" t="s">
        <v>405</v>
      </c>
      <c r="D227" s="292"/>
      <c r="E227" s="292"/>
      <c r="F227" s="292"/>
      <c r="G227" s="292"/>
      <c r="H227" s="292"/>
      <c r="I227" s="292"/>
      <c r="J227" s="292"/>
      <c r="K227" s="292"/>
      <c r="L227" s="292"/>
      <c r="M227" s="292"/>
      <c r="N227" s="293"/>
      <c r="O227" s="217"/>
      <c r="P227" s="235"/>
      <c r="Q227" s="236"/>
      <c r="R227" s="237"/>
      <c r="S227" s="1">
        <f t="shared" si="63"/>
        <v>0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" customFormat="1" ht="54" x14ac:dyDescent="0.25">
      <c r="A228" s="67">
        <v>1</v>
      </c>
      <c r="B228" s="67" t="s">
        <v>416</v>
      </c>
      <c r="C228" s="84" t="s">
        <v>406</v>
      </c>
      <c r="D228" s="93" t="s">
        <v>42</v>
      </c>
      <c r="E228" s="79">
        <v>4000</v>
      </c>
      <c r="F228" s="61">
        <v>59.56</v>
      </c>
      <c r="G228" s="61">
        <f t="shared" si="72"/>
        <v>238240</v>
      </c>
      <c r="H228" s="54">
        <f>S228+J228</f>
        <v>0</v>
      </c>
      <c r="I228" s="55">
        <f t="shared" si="57"/>
        <v>0</v>
      </c>
      <c r="J228" s="64"/>
      <c r="K228" s="134">
        <f t="shared" si="58"/>
        <v>0</v>
      </c>
      <c r="L228" s="57">
        <f>E228-H228</f>
        <v>4000</v>
      </c>
      <c r="M228" s="61">
        <f>L228*F228</f>
        <v>238240</v>
      </c>
      <c r="N228" s="58">
        <f>IF(G228=0,"",I228/G228)</f>
        <v>0</v>
      </c>
      <c r="O228" s="217"/>
      <c r="P228" s="235"/>
      <c r="Q228" s="236"/>
      <c r="R228" s="237"/>
      <c r="S228" s="1">
        <f t="shared" si="63"/>
        <v>0</v>
      </c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3" customFormat="1" ht="36" x14ac:dyDescent="0.25">
      <c r="A229" s="67">
        <v>1</v>
      </c>
      <c r="B229" s="67" t="s">
        <v>417</v>
      </c>
      <c r="C229" s="84" t="s">
        <v>398</v>
      </c>
      <c r="D229" s="93" t="s">
        <v>392</v>
      </c>
      <c r="E229" s="79">
        <v>60</v>
      </c>
      <c r="F229" s="61">
        <v>224.95</v>
      </c>
      <c r="G229" s="61">
        <f t="shared" si="72"/>
        <v>13497</v>
      </c>
      <c r="H229" s="54">
        <f>S229+J229</f>
        <v>0</v>
      </c>
      <c r="I229" s="55">
        <f t="shared" si="57"/>
        <v>0</v>
      </c>
      <c r="J229" s="64"/>
      <c r="K229" s="134">
        <f t="shared" si="58"/>
        <v>0</v>
      </c>
      <c r="L229" s="57">
        <f>E229-H229</f>
        <v>60</v>
      </c>
      <c r="M229" s="61">
        <f>L229*F229</f>
        <v>13497</v>
      </c>
      <c r="N229" s="58">
        <f>IF(G229=0,"",I229/G229)</f>
        <v>0</v>
      </c>
      <c r="O229" s="217"/>
      <c r="P229" s="235"/>
      <c r="Q229" s="236"/>
      <c r="R229" s="237"/>
      <c r="S229" s="1">
        <f t="shared" si="63"/>
        <v>0</v>
      </c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" customFormat="1" ht="39.950000000000003" customHeight="1" x14ac:dyDescent="0.25">
      <c r="A230" s="309" t="s">
        <v>500</v>
      </c>
      <c r="B230" s="310"/>
      <c r="C230" s="310"/>
      <c r="D230" s="310"/>
      <c r="E230" s="310"/>
      <c r="F230" s="311"/>
      <c r="G230" s="62">
        <f>SUM(G215:G229)</f>
        <v>1427977.96</v>
      </c>
      <c r="H230" s="63"/>
      <c r="I230" s="62">
        <f>SUM(I215:I229)</f>
        <v>0</v>
      </c>
      <c r="J230" s="64"/>
      <c r="K230" s="62">
        <f>SUM(K215:K229)</f>
        <v>0</v>
      </c>
      <c r="L230" s="65"/>
      <c r="M230" s="62">
        <f>SUM(M215:M229)</f>
        <v>1427977.96</v>
      </c>
      <c r="N230" s="66">
        <f>IF(G230=0,"",I230/G230)</f>
        <v>0</v>
      </c>
      <c r="O230" s="217"/>
      <c r="P230" s="235"/>
      <c r="Q230" s="236"/>
      <c r="R230" s="237"/>
      <c r="S230" s="1">
        <f t="shared" si="63"/>
        <v>0</v>
      </c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" customFormat="1" ht="39.950000000000003" customHeight="1" x14ac:dyDescent="0.25">
      <c r="A231" s="47">
        <v>1</v>
      </c>
      <c r="B231" s="47" t="s">
        <v>106</v>
      </c>
      <c r="C231" s="291" t="s">
        <v>107</v>
      </c>
      <c r="D231" s="292"/>
      <c r="E231" s="292"/>
      <c r="F231" s="292"/>
      <c r="G231" s="292"/>
      <c r="H231" s="292"/>
      <c r="I231" s="292"/>
      <c r="J231" s="292"/>
      <c r="K231" s="292"/>
      <c r="L231" s="292"/>
      <c r="M231" s="292"/>
      <c r="N231" s="293"/>
      <c r="O231" s="217"/>
      <c r="P231" s="235"/>
      <c r="Q231" s="236"/>
      <c r="R231" s="237"/>
      <c r="S231" s="1">
        <f t="shared" si="63"/>
        <v>0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" customFormat="1" ht="39.950000000000003" customHeight="1" x14ac:dyDescent="0.25">
      <c r="A232" s="67">
        <v>1</v>
      </c>
      <c r="B232" s="67" t="s">
        <v>420</v>
      </c>
      <c r="C232" s="49" t="s">
        <v>418</v>
      </c>
      <c r="D232" s="50" t="s">
        <v>135</v>
      </c>
      <c r="E232" s="72">
        <v>781.32</v>
      </c>
      <c r="F232" s="61">
        <v>90</v>
      </c>
      <c r="G232" s="61">
        <f t="shared" si="72"/>
        <v>70318.8</v>
      </c>
      <c r="H232" s="54">
        <f t="shared" ref="H232:H240" si="73">S232+J232</f>
        <v>0</v>
      </c>
      <c r="I232" s="53">
        <f t="shared" si="57"/>
        <v>0</v>
      </c>
      <c r="J232" s="64"/>
      <c r="K232" s="136">
        <f t="shared" si="58"/>
        <v>0</v>
      </c>
      <c r="L232" s="57">
        <f t="shared" ref="L232:L240" si="74">E232-H232</f>
        <v>781.32</v>
      </c>
      <c r="M232" s="61">
        <f t="shared" ref="M232:M240" si="75">L232*F232</f>
        <v>70318.8</v>
      </c>
      <c r="N232" s="58">
        <f t="shared" ref="N232:N241" si="76">IF(G232=0,"",I232/G232)</f>
        <v>0</v>
      </c>
      <c r="O232" s="217"/>
      <c r="P232" s="235"/>
      <c r="Q232" s="236"/>
      <c r="R232" s="237"/>
      <c r="S232" s="1">
        <f t="shared" si="63"/>
        <v>0</v>
      </c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" customFormat="1" ht="39.950000000000003" customHeight="1" x14ac:dyDescent="0.25">
      <c r="A233" s="67">
        <v>1</v>
      </c>
      <c r="B233" s="67" t="s">
        <v>421</v>
      </c>
      <c r="C233" s="84" t="s">
        <v>419</v>
      </c>
      <c r="D233" s="50" t="s">
        <v>124</v>
      </c>
      <c r="E233" s="72">
        <v>70093</v>
      </c>
      <c r="F233" s="61">
        <v>5</v>
      </c>
      <c r="G233" s="61">
        <f t="shared" si="72"/>
        <v>350465</v>
      </c>
      <c r="H233" s="54">
        <f t="shared" si="73"/>
        <v>26520</v>
      </c>
      <c r="I233" s="53">
        <f t="shared" si="57"/>
        <v>132600</v>
      </c>
      <c r="J233" s="64">
        <v>4400</v>
      </c>
      <c r="K233" s="136">
        <f t="shared" si="58"/>
        <v>22000</v>
      </c>
      <c r="L233" s="57">
        <f t="shared" si="74"/>
        <v>43573</v>
      </c>
      <c r="M233" s="61">
        <f t="shared" si="75"/>
        <v>217865</v>
      </c>
      <c r="N233" s="58">
        <f t="shared" si="76"/>
        <v>0.37835000000000002</v>
      </c>
      <c r="O233" s="217"/>
      <c r="P233" s="235"/>
      <c r="Q233" s="236"/>
      <c r="R233" s="237"/>
      <c r="S233" s="1">
        <f t="shared" si="63"/>
        <v>22120</v>
      </c>
      <c r="T233" s="1"/>
      <c r="U233" s="1"/>
      <c r="V233" s="1"/>
      <c r="W233" s="1"/>
      <c r="X233" s="1">
        <v>1000</v>
      </c>
      <c r="Y233" s="1"/>
      <c r="Z233" s="1"/>
      <c r="AA233" s="1">
        <v>4000</v>
      </c>
      <c r="AB233" s="1">
        <v>2000</v>
      </c>
      <c r="AC233" s="3">
        <v>6320</v>
      </c>
      <c r="AD233" s="1">
        <v>6600</v>
      </c>
      <c r="AE233" s="1">
        <v>2200</v>
      </c>
      <c r="AF233" s="1"/>
      <c r="AG233" s="1"/>
      <c r="AH233" s="1"/>
      <c r="AI233" s="1"/>
      <c r="AJ233" s="1"/>
      <c r="AK233" s="1"/>
    </row>
    <row r="234" spans="1:37" s="3" customFormat="1" ht="39.950000000000003" customHeight="1" x14ac:dyDescent="0.25">
      <c r="A234" s="95">
        <v>1</v>
      </c>
      <c r="B234" s="48" t="s">
        <v>429</v>
      </c>
      <c r="C234" s="70" t="s">
        <v>422</v>
      </c>
      <c r="D234" s="71" t="s">
        <v>392</v>
      </c>
      <c r="E234" s="72">
        <v>20</v>
      </c>
      <c r="F234" s="73">
        <v>172.92</v>
      </c>
      <c r="G234" s="53">
        <f>E234*F234</f>
        <v>3458.4</v>
      </c>
      <c r="H234" s="54">
        <f t="shared" si="73"/>
        <v>0</v>
      </c>
      <c r="I234" s="53">
        <f t="shared" si="57"/>
        <v>0</v>
      </c>
      <c r="J234" s="64"/>
      <c r="K234" s="136">
        <f t="shared" si="58"/>
        <v>0</v>
      </c>
      <c r="L234" s="57">
        <f t="shared" si="74"/>
        <v>20</v>
      </c>
      <c r="M234" s="53">
        <f t="shared" si="75"/>
        <v>3458.4</v>
      </c>
      <c r="N234" s="58">
        <f t="shared" si="76"/>
        <v>0</v>
      </c>
      <c r="O234" s="217"/>
      <c r="P234" s="235"/>
      <c r="Q234" s="236"/>
      <c r="R234" s="237"/>
      <c r="S234" s="1">
        <f t="shared" si="63"/>
        <v>0</v>
      </c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3" customFormat="1" ht="39.950000000000003" customHeight="1" x14ac:dyDescent="0.25">
      <c r="A235" s="35">
        <v>1</v>
      </c>
      <c r="B235" s="48" t="s">
        <v>430</v>
      </c>
      <c r="C235" s="49" t="s">
        <v>423</v>
      </c>
      <c r="D235" s="50" t="s">
        <v>392</v>
      </c>
      <c r="E235" s="72">
        <v>7</v>
      </c>
      <c r="F235" s="52">
        <v>125.04</v>
      </c>
      <c r="G235" s="61">
        <f t="shared" ref="G235:G248" si="77">E235*F235</f>
        <v>875.28</v>
      </c>
      <c r="H235" s="54">
        <f t="shared" si="73"/>
        <v>0</v>
      </c>
      <c r="I235" s="53">
        <f t="shared" si="57"/>
        <v>0</v>
      </c>
      <c r="J235" s="64"/>
      <c r="K235" s="136">
        <f t="shared" si="58"/>
        <v>0</v>
      </c>
      <c r="L235" s="57">
        <f t="shared" si="74"/>
        <v>7</v>
      </c>
      <c r="M235" s="61">
        <f t="shared" si="75"/>
        <v>875.28</v>
      </c>
      <c r="N235" s="58">
        <f t="shared" si="76"/>
        <v>0</v>
      </c>
      <c r="O235" s="217"/>
      <c r="P235" s="235"/>
      <c r="Q235" s="236"/>
      <c r="R235" s="237"/>
      <c r="S235" s="1">
        <f t="shared" si="63"/>
        <v>0</v>
      </c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" customFormat="1" ht="39.950000000000003" customHeight="1" x14ac:dyDescent="0.25">
      <c r="A236" s="82">
        <v>1</v>
      </c>
      <c r="B236" s="48" t="s">
        <v>431</v>
      </c>
      <c r="C236" s="49" t="s">
        <v>424</v>
      </c>
      <c r="D236" s="50" t="s">
        <v>392</v>
      </c>
      <c r="E236" s="72">
        <v>36</v>
      </c>
      <c r="F236" s="52">
        <v>171.76</v>
      </c>
      <c r="G236" s="61">
        <f t="shared" si="77"/>
        <v>6183.36</v>
      </c>
      <c r="H236" s="54">
        <f t="shared" si="73"/>
        <v>0</v>
      </c>
      <c r="I236" s="53">
        <f t="shared" si="57"/>
        <v>0</v>
      </c>
      <c r="J236" s="64"/>
      <c r="K236" s="136">
        <f t="shared" si="58"/>
        <v>0</v>
      </c>
      <c r="L236" s="57">
        <f t="shared" si="74"/>
        <v>36</v>
      </c>
      <c r="M236" s="61">
        <f t="shared" si="75"/>
        <v>6183.36</v>
      </c>
      <c r="N236" s="58">
        <f t="shared" si="76"/>
        <v>0</v>
      </c>
      <c r="O236" s="217"/>
      <c r="P236" s="235"/>
      <c r="Q236" s="236"/>
      <c r="R236" s="237"/>
      <c r="S236" s="1">
        <f t="shared" si="63"/>
        <v>0</v>
      </c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3" customFormat="1" ht="39.950000000000003" customHeight="1" x14ac:dyDescent="0.25">
      <c r="A237" s="67">
        <v>1</v>
      </c>
      <c r="B237" s="48" t="s">
        <v>432</v>
      </c>
      <c r="C237" s="49" t="s">
        <v>425</v>
      </c>
      <c r="D237" s="50" t="s">
        <v>392</v>
      </c>
      <c r="E237" s="72">
        <v>62</v>
      </c>
      <c r="F237" s="52">
        <v>109.66</v>
      </c>
      <c r="G237" s="61">
        <f t="shared" si="77"/>
        <v>6798.92</v>
      </c>
      <c r="H237" s="54">
        <f t="shared" si="73"/>
        <v>0</v>
      </c>
      <c r="I237" s="53">
        <f t="shared" si="57"/>
        <v>0</v>
      </c>
      <c r="J237" s="64"/>
      <c r="K237" s="136">
        <f t="shared" si="58"/>
        <v>0</v>
      </c>
      <c r="L237" s="57">
        <f t="shared" si="74"/>
        <v>62</v>
      </c>
      <c r="M237" s="61">
        <f t="shared" si="75"/>
        <v>6798.92</v>
      </c>
      <c r="N237" s="58">
        <f t="shared" si="76"/>
        <v>0</v>
      </c>
      <c r="O237" s="217"/>
      <c r="P237" s="235"/>
      <c r="Q237" s="236"/>
      <c r="R237" s="237"/>
      <c r="S237" s="1">
        <f t="shared" si="63"/>
        <v>0</v>
      </c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" customFormat="1" ht="39.950000000000003" customHeight="1" x14ac:dyDescent="0.25">
      <c r="A238" s="67">
        <v>1</v>
      </c>
      <c r="B238" s="48" t="s">
        <v>433</v>
      </c>
      <c r="C238" s="49" t="s">
        <v>426</v>
      </c>
      <c r="D238" s="50" t="s">
        <v>392</v>
      </c>
      <c r="E238" s="72">
        <v>21</v>
      </c>
      <c r="F238" s="52">
        <v>191.13</v>
      </c>
      <c r="G238" s="61">
        <f t="shared" si="77"/>
        <v>4013.73</v>
      </c>
      <c r="H238" s="54">
        <f t="shared" si="73"/>
        <v>0</v>
      </c>
      <c r="I238" s="53">
        <f t="shared" si="57"/>
        <v>0</v>
      </c>
      <c r="J238" s="64"/>
      <c r="K238" s="136">
        <f t="shared" si="58"/>
        <v>0</v>
      </c>
      <c r="L238" s="57">
        <f t="shared" si="74"/>
        <v>21</v>
      </c>
      <c r="M238" s="61">
        <f t="shared" si="75"/>
        <v>4013.73</v>
      </c>
      <c r="N238" s="58">
        <f t="shared" si="76"/>
        <v>0</v>
      </c>
      <c r="O238" s="217"/>
      <c r="P238" s="235"/>
      <c r="Q238" s="236"/>
      <c r="R238" s="237"/>
      <c r="S238" s="1">
        <f t="shared" si="63"/>
        <v>0</v>
      </c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3" customFormat="1" ht="39.950000000000003" customHeight="1" x14ac:dyDescent="0.25">
      <c r="A239" s="67">
        <v>1</v>
      </c>
      <c r="B239" s="48" t="s">
        <v>434</v>
      </c>
      <c r="C239" s="49" t="s">
        <v>427</v>
      </c>
      <c r="D239" s="50" t="s">
        <v>392</v>
      </c>
      <c r="E239" s="72">
        <v>20</v>
      </c>
      <c r="F239" s="52">
        <v>113.06</v>
      </c>
      <c r="G239" s="61">
        <f t="shared" si="77"/>
        <v>2261.1999999999998</v>
      </c>
      <c r="H239" s="54">
        <f t="shared" si="73"/>
        <v>0</v>
      </c>
      <c r="I239" s="53">
        <f t="shared" si="57"/>
        <v>0</v>
      </c>
      <c r="J239" s="64"/>
      <c r="K239" s="136">
        <f t="shared" si="58"/>
        <v>0</v>
      </c>
      <c r="L239" s="57">
        <f t="shared" si="74"/>
        <v>20</v>
      </c>
      <c r="M239" s="61">
        <f t="shared" si="75"/>
        <v>2261.1999999999998</v>
      </c>
      <c r="N239" s="58">
        <f t="shared" si="76"/>
        <v>0</v>
      </c>
      <c r="O239" s="217"/>
      <c r="P239" s="235"/>
      <c r="Q239" s="236"/>
      <c r="R239" s="237"/>
      <c r="S239" s="1">
        <f t="shared" si="63"/>
        <v>0</v>
      </c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" customFormat="1" ht="39.950000000000003" customHeight="1" x14ac:dyDescent="0.25">
      <c r="A240" s="67">
        <v>1</v>
      </c>
      <c r="B240" s="48" t="s">
        <v>435</v>
      </c>
      <c r="C240" s="49" t="s">
        <v>428</v>
      </c>
      <c r="D240" s="50" t="s">
        <v>392</v>
      </c>
      <c r="E240" s="72">
        <v>4</v>
      </c>
      <c r="F240" s="52">
        <v>12.24</v>
      </c>
      <c r="G240" s="61">
        <f t="shared" si="77"/>
        <v>48.96</v>
      </c>
      <c r="H240" s="54">
        <f t="shared" si="73"/>
        <v>0</v>
      </c>
      <c r="I240" s="53">
        <f t="shared" si="57"/>
        <v>0</v>
      </c>
      <c r="J240" s="64"/>
      <c r="K240" s="136">
        <f t="shared" si="58"/>
        <v>0</v>
      </c>
      <c r="L240" s="57">
        <f t="shared" si="74"/>
        <v>4</v>
      </c>
      <c r="M240" s="61">
        <f t="shared" si="75"/>
        <v>48.96</v>
      </c>
      <c r="N240" s="58">
        <f t="shared" si="76"/>
        <v>0</v>
      </c>
      <c r="O240" s="217"/>
      <c r="P240" s="235"/>
      <c r="Q240" s="236"/>
      <c r="R240" s="237"/>
      <c r="S240" s="1">
        <f t="shared" si="63"/>
        <v>0</v>
      </c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" customFormat="1" ht="39.950000000000003" customHeight="1" x14ac:dyDescent="0.25">
      <c r="A241" s="309" t="s">
        <v>501</v>
      </c>
      <c r="B241" s="310"/>
      <c r="C241" s="310"/>
      <c r="D241" s="310"/>
      <c r="E241" s="310"/>
      <c r="F241" s="311"/>
      <c r="G241" s="62">
        <f>SUM(G232:G240)</f>
        <v>444423.65</v>
      </c>
      <c r="H241" s="63"/>
      <c r="I241" s="62">
        <f>SUM(I232:I240)</f>
        <v>132600</v>
      </c>
      <c r="J241" s="64"/>
      <c r="K241" s="62">
        <f>SUM(K232:K240)</f>
        <v>22000</v>
      </c>
      <c r="L241" s="65"/>
      <c r="M241" s="62">
        <f>SUM(M232:M240)</f>
        <v>311823.65000000002</v>
      </c>
      <c r="N241" s="66">
        <f t="shared" si="76"/>
        <v>0.29836000000000001</v>
      </c>
      <c r="O241" s="217"/>
      <c r="P241" s="235"/>
      <c r="Q241" s="236"/>
      <c r="R241" s="237"/>
      <c r="S241" s="1">
        <f t="shared" si="63"/>
        <v>0</v>
      </c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" customFormat="1" ht="39.950000000000003" customHeight="1" x14ac:dyDescent="0.25">
      <c r="A242" s="47">
        <v>2</v>
      </c>
      <c r="B242" s="47"/>
      <c r="C242" s="312" t="s">
        <v>436</v>
      </c>
      <c r="D242" s="313"/>
      <c r="E242" s="313"/>
      <c r="F242" s="313"/>
      <c r="G242" s="313"/>
      <c r="H242" s="313"/>
      <c r="I242" s="313"/>
      <c r="J242" s="313"/>
      <c r="K242" s="313"/>
      <c r="L242" s="313"/>
      <c r="M242" s="313"/>
      <c r="N242" s="314"/>
      <c r="O242" s="217"/>
      <c r="P242" s="235"/>
      <c r="Q242" s="236"/>
      <c r="R242" s="237"/>
      <c r="S242" s="1">
        <f t="shared" si="63"/>
        <v>0</v>
      </c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3" customFormat="1" ht="39.950000000000003" customHeight="1" x14ac:dyDescent="0.25">
      <c r="A243" s="47">
        <v>2</v>
      </c>
      <c r="B243" s="47" t="s">
        <v>9</v>
      </c>
      <c r="C243" s="317" t="s">
        <v>4</v>
      </c>
      <c r="D243" s="318"/>
      <c r="E243" s="318"/>
      <c r="F243" s="318"/>
      <c r="G243" s="318"/>
      <c r="H243" s="318"/>
      <c r="I243" s="318"/>
      <c r="J243" s="318"/>
      <c r="K243" s="318"/>
      <c r="L243" s="318"/>
      <c r="M243" s="318"/>
      <c r="N243" s="319"/>
      <c r="O243" s="217"/>
      <c r="P243" s="235"/>
      <c r="Q243" s="236"/>
      <c r="R243" s="237"/>
      <c r="S243" s="1">
        <f t="shared" si="63"/>
        <v>0</v>
      </c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" customFormat="1" ht="39.950000000000003" customHeight="1" x14ac:dyDescent="0.25">
      <c r="A244" s="67">
        <v>2</v>
      </c>
      <c r="B244" s="67" t="s">
        <v>10</v>
      </c>
      <c r="C244" s="76" t="s">
        <v>131</v>
      </c>
      <c r="D244" s="78" t="s">
        <v>40</v>
      </c>
      <c r="E244" s="97">
        <v>2050</v>
      </c>
      <c r="F244" s="52">
        <v>0.47</v>
      </c>
      <c r="G244" s="61">
        <f t="shared" ref="G244:G245" si="78">E244*F244</f>
        <v>963.5</v>
      </c>
      <c r="H244" s="54">
        <f t="shared" ref="H244:H260" si="79">S244+J244</f>
        <v>0</v>
      </c>
      <c r="I244" s="55">
        <f t="shared" si="57"/>
        <v>0</v>
      </c>
      <c r="J244" s="64"/>
      <c r="K244" s="134">
        <f t="shared" si="58"/>
        <v>0</v>
      </c>
      <c r="L244" s="57">
        <f t="shared" ref="L244:L260" si="80">E244-H244</f>
        <v>2050</v>
      </c>
      <c r="M244" s="61">
        <f t="shared" ref="M244:M260" si="81">L244*F244</f>
        <v>963.5</v>
      </c>
      <c r="N244" s="58">
        <f t="shared" ref="N244:N260" si="82">IF(G244=0,"",I244/G244)</f>
        <v>0</v>
      </c>
      <c r="O244" s="217"/>
      <c r="P244" s="235"/>
      <c r="Q244" s="236"/>
      <c r="R244" s="237"/>
      <c r="S244" s="1">
        <f t="shared" si="63"/>
        <v>0</v>
      </c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" customFormat="1" ht="39.950000000000003" customHeight="1" x14ac:dyDescent="0.25">
      <c r="A245" s="67">
        <v>2</v>
      </c>
      <c r="B245" s="67" t="s">
        <v>11</v>
      </c>
      <c r="C245" s="76" t="s">
        <v>132</v>
      </c>
      <c r="D245" s="78" t="s">
        <v>133</v>
      </c>
      <c r="E245" s="97">
        <v>9</v>
      </c>
      <c r="F245" s="52">
        <v>49.46</v>
      </c>
      <c r="G245" s="61">
        <f t="shared" si="78"/>
        <v>445.14</v>
      </c>
      <c r="H245" s="54">
        <f t="shared" si="79"/>
        <v>9</v>
      </c>
      <c r="I245" s="53">
        <f t="shared" si="57"/>
        <v>445.14</v>
      </c>
      <c r="J245" s="64"/>
      <c r="K245" s="136">
        <f t="shared" si="58"/>
        <v>0</v>
      </c>
      <c r="L245" s="57">
        <f t="shared" si="80"/>
        <v>0</v>
      </c>
      <c r="M245" s="61">
        <f t="shared" si="81"/>
        <v>0</v>
      </c>
      <c r="N245" s="58">
        <f t="shared" si="82"/>
        <v>1</v>
      </c>
      <c r="O245" s="217"/>
      <c r="P245" s="235"/>
      <c r="Q245" s="236"/>
      <c r="R245" s="237"/>
      <c r="S245" s="1">
        <f t="shared" si="63"/>
        <v>9</v>
      </c>
      <c r="T245" s="1"/>
      <c r="U245" s="1"/>
      <c r="V245" s="1"/>
      <c r="W245" s="1"/>
      <c r="X245" s="1"/>
      <c r="Y245" s="1">
        <v>9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" customFormat="1" ht="39.950000000000003" customHeight="1" x14ac:dyDescent="0.25">
      <c r="A246" s="67">
        <v>2</v>
      </c>
      <c r="B246" s="67" t="s">
        <v>12</v>
      </c>
      <c r="C246" s="76" t="s">
        <v>134</v>
      </c>
      <c r="D246" s="78" t="s">
        <v>8</v>
      </c>
      <c r="E246" s="97">
        <v>701.5</v>
      </c>
      <c r="F246" s="52">
        <v>2.04</v>
      </c>
      <c r="G246" s="61">
        <f t="shared" si="77"/>
        <v>1431.06</v>
      </c>
      <c r="H246" s="54">
        <f t="shared" si="79"/>
        <v>0</v>
      </c>
      <c r="I246" s="55">
        <f t="shared" si="57"/>
        <v>0</v>
      </c>
      <c r="J246" s="64"/>
      <c r="K246" s="134">
        <f t="shared" si="58"/>
        <v>0</v>
      </c>
      <c r="L246" s="57">
        <f t="shared" si="80"/>
        <v>701.5</v>
      </c>
      <c r="M246" s="61">
        <f t="shared" si="81"/>
        <v>1431.06</v>
      </c>
      <c r="N246" s="58">
        <f t="shared" si="82"/>
        <v>0</v>
      </c>
      <c r="O246" s="217"/>
      <c r="P246" s="235"/>
      <c r="Q246" s="236"/>
      <c r="R246" s="237"/>
      <c r="S246" s="1">
        <f t="shared" si="63"/>
        <v>0</v>
      </c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3" customFormat="1" ht="39.950000000000003" customHeight="1" x14ac:dyDescent="0.25">
      <c r="A247" s="67">
        <v>2</v>
      </c>
      <c r="B247" s="67" t="s">
        <v>13</v>
      </c>
      <c r="C247" s="76" t="s">
        <v>136</v>
      </c>
      <c r="D247" s="78" t="s">
        <v>143</v>
      </c>
      <c r="E247" s="97">
        <v>701.5</v>
      </c>
      <c r="F247" s="52">
        <v>3.89</v>
      </c>
      <c r="G247" s="61">
        <f t="shared" si="77"/>
        <v>2728.84</v>
      </c>
      <c r="H247" s="54">
        <f t="shared" si="79"/>
        <v>0</v>
      </c>
      <c r="I247" s="55">
        <f t="shared" si="57"/>
        <v>0</v>
      </c>
      <c r="J247" s="64"/>
      <c r="K247" s="134">
        <f t="shared" si="58"/>
        <v>0</v>
      </c>
      <c r="L247" s="57">
        <f t="shared" si="80"/>
        <v>701.5</v>
      </c>
      <c r="M247" s="61">
        <f t="shared" si="81"/>
        <v>2728.84</v>
      </c>
      <c r="N247" s="58">
        <f t="shared" si="82"/>
        <v>0</v>
      </c>
      <c r="O247" s="217"/>
      <c r="P247" s="235"/>
      <c r="Q247" s="236"/>
      <c r="R247" s="237"/>
      <c r="S247" s="1">
        <f t="shared" si="63"/>
        <v>0</v>
      </c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3" customFormat="1" ht="39.950000000000003" customHeight="1" x14ac:dyDescent="0.25">
      <c r="A248" s="67">
        <v>2</v>
      </c>
      <c r="B248" s="67" t="s">
        <v>14</v>
      </c>
      <c r="C248" s="76" t="s">
        <v>138</v>
      </c>
      <c r="D248" s="78" t="s">
        <v>143</v>
      </c>
      <c r="E248" s="97">
        <v>14030</v>
      </c>
      <c r="F248" s="52">
        <v>1.19</v>
      </c>
      <c r="G248" s="61">
        <f t="shared" si="77"/>
        <v>16695.7</v>
      </c>
      <c r="H248" s="54">
        <f t="shared" si="79"/>
        <v>216</v>
      </c>
      <c r="I248" s="53">
        <f t="shared" si="57"/>
        <v>257.04000000000002</v>
      </c>
      <c r="J248" s="64"/>
      <c r="K248" s="136">
        <f t="shared" si="58"/>
        <v>0</v>
      </c>
      <c r="L248" s="57">
        <f t="shared" si="80"/>
        <v>13814</v>
      </c>
      <c r="M248" s="61">
        <f t="shared" si="81"/>
        <v>16438.66</v>
      </c>
      <c r="N248" s="58">
        <f t="shared" si="82"/>
        <v>1.54E-2</v>
      </c>
      <c r="O248" s="217"/>
      <c r="P248" s="235"/>
      <c r="Q248" s="236"/>
      <c r="R248" s="237"/>
      <c r="S248" s="1">
        <f t="shared" si="63"/>
        <v>216</v>
      </c>
      <c r="T248" s="1"/>
      <c r="U248" s="1"/>
      <c r="V248" s="1"/>
      <c r="W248" s="1"/>
      <c r="X248" s="1"/>
      <c r="Y248" s="1">
        <v>216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3" customFormat="1" ht="39.950000000000003" customHeight="1" x14ac:dyDescent="0.25">
      <c r="A249" s="83">
        <v>2</v>
      </c>
      <c r="B249" s="83" t="s">
        <v>15</v>
      </c>
      <c r="C249" s="60" t="s">
        <v>139</v>
      </c>
      <c r="D249" s="98" t="s">
        <v>8</v>
      </c>
      <c r="E249" s="97">
        <v>701.5</v>
      </c>
      <c r="F249" s="61">
        <v>1.95</v>
      </c>
      <c r="G249" s="61">
        <f>E249*F249</f>
        <v>1367.93</v>
      </c>
      <c r="H249" s="54">
        <f t="shared" si="79"/>
        <v>72</v>
      </c>
      <c r="I249" s="53">
        <f t="shared" si="57"/>
        <v>140.4</v>
      </c>
      <c r="J249" s="64"/>
      <c r="K249" s="136">
        <f t="shared" si="58"/>
        <v>0</v>
      </c>
      <c r="L249" s="57">
        <f t="shared" si="80"/>
        <v>629.5</v>
      </c>
      <c r="M249" s="61">
        <f t="shared" si="81"/>
        <v>1227.53</v>
      </c>
      <c r="N249" s="58">
        <f t="shared" si="82"/>
        <v>0.10264</v>
      </c>
      <c r="O249" s="217"/>
      <c r="P249" s="235"/>
      <c r="Q249" s="236"/>
      <c r="R249" s="237"/>
      <c r="S249" s="1">
        <f t="shared" si="63"/>
        <v>72</v>
      </c>
      <c r="T249" s="1"/>
      <c r="U249" s="1"/>
      <c r="V249" s="1"/>
      <c r="W249" s="1"/>
      <c r="X249" s="1"/>
      <c r="Y249" s="1">
        <v>72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" customFormat="1" ht="39.950000000000003" customHeight="1" x14ac:dyDescent="0.25">
      <c r="A250" s="83">
        <v>2</v>
      </c>
      <c r="B250" s="83" t="s">
        <v>16</v>
      </c>
      <c r="C250" s="76" t="s">
        <v>164</v>
      </c>
      <c r="D250" s="78" t="s">
        <v>6</v>
      </c>
      <c r="E250" s="97">
        <v>504</v>
      </c>
      <c r="F250" s="61">
        <v>51.18</v>
      </c>
      <c r="G250" s="61">
        <f t="shared" ref="G250:G269" si="83">E250*F250</f>
        <v>25794.720000000001</v>
      </c>
      <c r="H250" s="54">
        <f t="shared" si="79"/>
        <v>0</v>
      </c>
      <c r="I250" s="53">
        <f t="shared" si="57"/>
        <v>0</v>
      </c>
      <c r="J250" s="64"/>
      <c r="K250" s="136">
        <f t="shared" si="58"/>
        <v>0</v>
      </c>
      <c r="L250" s="57">
        <f t="shared" si="80"/>
        <v>504</v>
      </c>
      <c r="M250" s="61">
        <f t="shared" si="81"/>
        <v>25794.720000000001</v>
      </c>
      <c r="N250" s="58">
        <f t="shared" si="82"/>
        <v>0</v>
      </c>
      <c r="O250" s="217"/>
      <c r="P250" s="235"/>
      <c r="Q250" s="236"/>
      <c r="R250" s="237"/>
      <c r="S250" s="1">
        <f t="shared" si="63"/>
        <v>0</v>
      </c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" customFormat="1" ht="39.950000000000003" customHeight="1" x14ac:dyDescent="0.25">
      <c r="A251" s="83">
        <v>2</v>
      </c>
      <c r="B251" s="83" t="s">
        <v>17</v>
      </c>
      <c r="C251" s="76" t="s">
        <v>437</v>
      </c>
      <c r="D251" s="78" t="s">
        <v>438</v>
      </c>
      <c r="E251" s="97">
        <v>600</v>
      </c>
      <c r="F251" s="61">
        <v>5.62</v>
      </c>
      <c r="G251" s="61">
        <f t="shared" si="83"/>
        <v>3372</v>
      </c>
      <c r="H251" s="54">
        <f t="shared" si="79"/>
        <v>0</v>
      </c>
      <c r="I251" s="55">
        <f t="shared" si="57"/>
        <v>0</v>
      </c>
      <c r="J251" s="64"/>
      <c r="K251" s="134">
        <f t="shared" si="58"/>
        <v>0</v>
      </c>
      <c r="L251" s="57">
        <f t="shared" si="80"/>
        <v>600</v>
      </c>
      <c r="M251" s="61">
        <f t="shared" si="81"/>
        <v>3372</v>
      </c>
      <c r="N251" s="58">
        <f t="shared" si="82"/>
        <v>0</v>
      </c>
      <c r="O251" s="217"/>
      <c r="P251" s="235"/>
      <c r="Q251" s="236"/>
      <c r="R251" s="237"/>
      <c r="S251" s="1">
        <f t="shared" si="63"/>
        <v>0</v>
      </c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3" customFormat="1" ht="39.950000000000003" customHeight="1" x14ac:dyDescent="0.25">
      <c r="A252" s="83">
        <v>2</v>
      </c>
      <c r="B252" s="83" t="s">
        <v>18</v>
      </c>
      <c r="C252" s="76" t="s">
        <v>145</v>
      </c>
      <c r="D252" s="78" t="s">
        <v>5</v>
      </c>
      <c r="E252" s="97">
        <v>115</v>
      </c>
      <c r="F252" s="61">
        <v>92.25</v>
      </c>
      <c r="G252" s="61">
        <f t="shared" si="83"/>
        <v>10608.75</v>
      </c>
      <c r="H252" s="54">
        <f t="shared" si="79"/>
        <v>0</v>
      </c>
      <c r="I252" s="55">
        <f t="shared" ref="I252:I304" si="84">H252*F252</f>
        <v>0</v>
      </c>
      <c r="J252" s="64"/>
      <c r="K252" s="134">
        <f t="shared" ref="K252:K302" si="85">J252*F252</f>
        <v>0</v>
      </c>
      <c r="L252" s="57">
        <f t="shared" si="80"/>
        <v>115</v>
      </c>
      <c r="M252" s="61">
        <f t="shared" si="81"/>
        <v>10608.75</v>
      </c>
      <c r="N252" s="58">
        <f t="shared" si="82"/>
        <v>0</v>
      </c>
      <c r="O252" s="217"/>
      <c r="P252" s="235"/>
      <c r="Q252" s="236"/>
      <c r="R252" s="237"/>
      <c r="S252" s="1">
        <f t="shared" si="63"/>
        <v>0</v>
      </c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3" customFormat="1" ht="39.950000000000003" customHeight="1" x14ac:dyDescent="0.25">
      <c r="A253" s="83">
        <v>2</v>
      </c>
      <c r="B253" s="83" t="s">
        <v>19</v>
      </c>
      <c r="C253" s="76" t="s">
        <v>439</v>
      </c>
      <c r="D253" s="78" t="s">
        <v>5</v>
      </c>
      <c r="E253" s="97">
        <v>805</v>
      </c>
      <c r="F253" s="53">
        <v>52.1</v>
      </c>
      <c r="G253" s="53">
        <f t="shared" si="83"/>
        <v>41940.5</v>
      </c>
      <c r="H253" s="54">
        <f t="shared" si="79"/>
        <v>0</v>
      </c>
      <c r="I253" s="55">
        <f t="shared" si="84"/>
        <v>0</v>
      </c>
      <c r="J253" s="64"/>
      <c r="K253" s="134">
        <f t="shared" si="85"/>
        <v>0</v>
      </c>
      <c r="L253" s="57">
        <f t="shared" si="80"/>
        <v>805</v>
      </c>
      <c r="M253" s="53">
        <f t="shared" si="81"/>
        <v>41940.5</v>
      </c>
      <c r="N253" s="58">
        <f t="shared" si="82"/>
        <v>0</v>
      </c>
      <c r="O253" s="217"/>
      <c r="P253" s="235"/>
      <c r="Q253" s="236"/>
      <c r="R253" s="237"/>
      <c r="S253" s="1">
        <f t="shared" si="63"/>
        <v>0</v>
      </c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3" customFormat="1" ht="39.950000000000003" customHeight="1" x14ac:dyDescent="0.25">
      <c r="A254" s="83">
        <v>2</v>
      </c>
      <c r="B254" s="83" t="s">
        <v>20</v>
      </c>
      <c r="C254" s="76" t="s">
        <v>147</v>
      </c>
      <c r="D254" s="78" t="s">
        <v>5</v>
      </c>
      <c r="E254" s="97">
        <v>35</v>
      </c>
      <c r="F254" s="53">
        <v>231.58</v>
      </c>
      <c r="G254" s="53">
        <f t="shared" si="83"/>
        <v>8105.3</v>
      </c>
      <c r="H254" s="54">
        <f t="shared" si="79"/>
        <v>0</v>
      </c>
      <c r="I254" s="55">
        <f t="shared" si="84"/>
        <v>0</v>
      </c>
      <c r="J254" s="64"/>
      <c r="K254" s="134">
        <f t="shared" si="85"/>
        <v>0</v>
      </c>
      <c r="L254" s="57">
        <f t="shared" si="80"/>
        <v>35</v>
      </c>
      <c r="M254" s="53">
        <f t="shared" si="81"/>
        <v>8105.3</v>
      </c>
      <c r="N254" s="58">
        <f t="shared" si="82"/>
        <v>0</v>
      </c>
      <c r="O254" s="217"/>
      <c r="P254" s="235"/>
      <c r="Q254" s="236"/>
      <c r="R254" s="237"/>
      <c r="S254" s="1">
        <f t="shared" si="63"/>
        <v>0</v>
      </c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s="3" customFormat="1" ht="39.950000000000003" customHeight="1" x14ac:dyDescent="0.25">
      <c r="A255" s="83">
        <v>2</v>
      </c>
      <c r="B255" s="83" t="s">
        <v>442</v>
      </c>
      <c r="C255" s="76" t="s">
        <v>148</v>
      </c>
      <c r="D255" s="78" t="s">
        <v>41</v>
      </c>
      <c r="E255" s="97">
        <v>19100</v>
      </c>
      <c r="F255" s="53">
        <v>0.8</v>
      </c>
      <c r="G255" s="53">
        <f t="shared" si="83"/>
        <v>15280</v>
      </c>
      <c r="H255" s="54">
        <f t="shared" si="79"/>
        <v>0</v>
      </c>
      <c r="I255" s="55">
        <f t="shared" si="84"/>
        <v>0</v>
      </c>
      <c r="J255" s="64"/>
      <c r="K255" s="134">
        <f t="shared" si="85"/>
        <v>0</v>
      </c>
      <c r="L255" s="57">
        <f t="shared" si="80"/>
        <v>19100</v>
      </c>
      <c r="M255" s="53">
        <f t="shared" si="81"/>
        <v>15280</v>
      </c>
      <c r="N255" s="58">
        <f t="shared" si="82"/>
        <v>0</v>
      </c>
      <c r="O255" s="217"/>
      <c r="P255" s="235"/>
      <c r="Q255" s="236"/>
      <c r="R255" s="237"/>
      <c r="S255" s="1">
        <f t="shared" si="63"/>
        <v>0</v>
      </c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3" customFormat="1" ht="39.950000000000003" customHeight="1" x14ac:dyDescent="0.25">
      <c r="A256" s="83">
        <v>2</v>
      </c>
      <c r="B256" s="83" t="s">
        <v>443</v>
      </c>
      <c r="C256" s="60" t="s">
        <v>139</v>
      </c>
      <c r="D256" s="98" t="s">
        <v>8</v>
      </c>
      <c r="E256" s="97">
        <v>955</v>
      </c>
      <c r="F256" s="53">
        <v>1.95</v>
      </c>
      <c r="G256" s="53">
        <f t="shared" si="83"/>
        <v>1862.25</v>
      </c>
      <c r="H256" s="54">
        <f t="shared" si="79"/>
        <v>0</v>
      </c>
      <c r="I256" s="55">
        <f t="shared" si="84"/>
        <v>0</v>
      </c>
      <c r="J256" s="64"/>
      <c r="K256" s="134">
        <f t="shared" si="85"/>
        <v>0</v>
      </c>
      <c r="L256" s="57">
        <f t="shared" si="80"/>
        <v>955</v>
      </c>
      <c r="M256" s="53">
        <f t="shared" si="81"/>
        <v>1862.25</v>
      </c>
      <c r="N256" s="58">
        <f t="shared" si="82"/>
        <v>0</v>
      </c>
      <c r="O256" s="217"/>
      <c r="P256" s="235"/>
      <c r="Q256" s="236"/>
      <c r="R256" s="237"/>
      <c r="S256" s="1">
        <f t="shared" si="63"/>
        <v>0</v>
      </c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3" customFormat="1" ht="39.950000000000003" customHeight="1" x14ac:dyDescent="0.25">
      <c r="A257" s="83">
        <v>2</v>
      </c>
      <c r="B257" s="83" t="s">
        <v>444</v>
      </c>
      <c r="C257" s="76" t="s">
        <v>180</v>
      </c>
      <c r="D257" s="78" t="s">
        <v>3</v>
      </c>
      <c r="E257" s="97">
        <v>649.75</v>
      </c>
      <c r="F257" s="53">
        <v>5.26</v>
      </c>
      <c r="G257" s="53">
        <f t="shared" si="83"/>
        <v>3417.69</v>
      </c>
      <c r="H257" s="54">
        <f t="shared" si="79"/>
        <v>0</v>
      </c>
      <c r="I257" s="55">
        <f t="shared" si="84"/>
        <v>0</v>
      </c>
      <c r="J257" s="64"/>
      <c r="K257" s="134">
        <f t="shared" si="85"/>
        <v>0</v>
      </c>
      <c r="L257" s="57">
        <f t="shared" si="80"/>
        <v>649.75</v>
      </c>
      <c r="M257" s="53">
        <f t="shared" si="81"/>
        <v>3417.69</v>
      </c>
      <c r="N257" s="58">
        <f t="shared" si="82"/>
        <v>0</v>
      </c>
      <c r="O257" s="217"/>
      <c r="P257" s="235"/>
      <c r="Q257" s="236"/>
      <c r="R257" s="237"/>
      <c r="S257" s="1">
        <f t="shared" si="63"/>
        <v>0</v>
      </c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" customFormat="1" ht="39.950000000000003" customHeight="1" x14ac:dyDescent="0.25">
      <c r="A258" s="83">
        <v>2</v>
      </c>
      <c r="B258" s="83" t="s">
        <v>445</v>
      </c>
      <c r="C258" s="76" t="s">
        <v>181</v>
      </c>
      <c r="D258" s="78" t="s">
        <v>440</v>
      </c>
      <c r="E258" s="97">
        <v>12995</v>
      </c>
      <c r="F258" s="53">
        <v>0.15</v>
      </c>
      <c r="G258" s="53">
        <f t="shared" si="83"/>
        <v>1949.25</v>
      </c>
      <c r="H258" s="54">
        <f t="shared" si="79"/>
        <v>0</v>
      </c>
      <c r="I258" s="55">
        <f t="shared" si="84"/>
        <v>0</v>
      </c>
      <c r="J258" s="64"/>
      <c r="K258" s="134">
        <f t="shared" si="85"/>
        <v>0</v>
      </c>
      <c r="L258" s="57">
        <f t="shared" si="80"/>
        <v>12995</v>
      </c>
      <c r="M258" s="53">
        <f t="shared" si="81"/>
        <v>1949.25</v>
      </c>
      <c r="N258" s="58">
        <f t="shared" si="82"/>
        <v>0</v>
      </c>
      <c r="O258" s="217"/>
      <c r="P258" s="235"/>
      <c r="Q258" s="236"/>
      <c r="R258" s="237"/>
      <c r="S258" s="1">
        <f t="shared" si="63"/>
        <v>0</v>
      </c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3" customFormat="1" ht="39.950000000000003" customHeight="1" x14ac:dyDescent="0.25">
      <c r="A259" s="83">
        <v>2</v>
      </c>
      <c r="B259" s="83" t="s">
        <v>446</v>
      </c>
      <c r="C259" s="76" t="s">
        <v>183</v>
      </c>
      <c r="D259" s="78" t="s">
        <v>6</v>
      </c>
      <c r="E259" s="97">
        <v>20163.400000000001</v>
      </c>
      <c r="F259" s="61">
        <v>10.64</v>
      </c>
      <c r="G259" s="61">
        <f t="shared" si="83"/>
        <v>214538.58</v>
      </c>
      <c r="H259" s="54">
        <f t="shared" si="79"/>
        <v>0</v>
      </c>
      <c r="I259" s="55">
        <f t="shared" si="84"/>
        <v>0</v>
      </c>
      <c r="J259" s="64"/>
      <c r="K259" s="134">
        <f t="shared" si="85"/>
        <v>0</v>
      </c>
      <c r="L259" s="57">
        <f t="shared" si="80"/>
        <v>20163.400000000001</v>
      </c>
      <c r="M259" s="61">
        <f t="shared" si="81"/>
        <v>214538.58</v>
      </c>
      <c r="N259" s="58">
        <f t="shared" si="82"/>
        <v>0</v>
      </c>
      <c r="O259" s="217"/>
      <c r="P259" s="235"/>
      <c r="Q259" s="236"/>
      <c r="R259" s="237"/>
      <c r="S259" s="1">
        <f t="shared" si="63"/>
        <v>0</v>
      </c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" customFormat="1" ht="39.950000000000003" customHeight="1" x14ac:dyDescent="0.25">
      <c r="A260" s="83">
        <v>2</v>
      </c>
      <c r="B260" s="83" t="s">
        <v>447</v>
      </c>
      <c r="C260" s="76" t="s">
        <v>184</v>
      </c>
      <c r="D260" s="78" t="s">
        <v>441</v>
      </c>
      <c r="E260" s="97">
        <v>112712.4</v>
      </c>
      <c r="F260" s="61">
        <v>0.27</v>
      </c>
      <c r="G260" s="61">
        <f t="shared" si="83"/>
        <v>30432.35</v>
      </c>
      <c r="H260" s="54">
        <f t="shared" si="79"/>
        <v>0</v>
      </c>
      <c r="I260" s="55">
        <f t="shared" si="84"/>
        <v>0</v>
      </c>
      <c r="J260" s="64"/>
      <c r="K260" s="134">
        <f t="shared" si="85"/>
        <v>0</v>
      </c>
      <c r="L260" s="57">
        <f t="shared" si="80"/>
        <v>112712.4</v>
      </c>
      <c r="M260" s="61">
        <f t="shared" si="81"/>
        <v>30432.35</v>
      </c>
      <c r="N260" s="58">
        <f t="shared" si="82"/>
        <v>0</v>
      </c>
      <c r="O260" s="217"/>
      <c r="P260" s="235"/>
      <c r="Q260" s="236"/>
      <c r="R260" s="237"/>
      <c r="S260" s="1">
        <f t="shared" si="63"/>
        <v>0</v>
      </c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" customFormat="1" ht="39.950000000000003" customHeight="1" x14ac:dyDescent="0.25">
      <c r="A261" s="99">
        <v>2</v>
      </c>
      <c r="B261" s="99" t="s">
        <v>21</v>
      </c>
      <c r="C261" s="320" t="s">
        <v>448</v>
      </c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2"/>
      <c r="O261" s="217"/>
      <c r="P261" s="235"/>
      <c r="Q261" s="236"/>
      <c r="R261" s="237"/>
      <c r="S261" s="1">
        <f t="shared" si="63"/>
        <v>0</v>
      </c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" customFormat="1" ht="39.950000000000003" customHeight="1" x14ac:dyDescent="0.25">
      <c r="A262" s="48">
        <v>2</v>
      </c>
      <c r="B262" s="48" t="s">
        <v>22</v>
      </c>
      <c r="C262" s="76" t="s">
        <v>449</v>
      </c>
      <c r="D262" s="78" t="s">
        <v>40</v>
      </c>
      <c r="E262" s="97">
        <v>767</v>
      </c>
      <c r="F262" s="61">
        <v>525.46</v>
      </c>
      <c r="G262" s="61">
        <f t="shared" si="83"/>
        <v>403027.82</v>
      </c>
      <c r="H262" s="54">
        <f t="shared" ref="H262:H269" si="86">S262+J262</f>
        <v>0</v>
      </c>
      <c r="I262" s="55">
        <f t="shared" si="84"/>
        <v>0</v>
      </c>
      <c r="J262" s="64"/>
      <c r="K262" s="134">
        <f t="shared" si="85"/>
        <v>0</v>
      </c>
      <c r="L262" s="57">
        <f t="shared" ref="L262:L269" si="87">E262-H262</f>
        <v>767</v>
      </c>
      <c r="M262" s="61">
        <f t="shared" ref="M262:M269" si="88">L262*F262</f>
        <v>403027.82</v>
      </c>
      <c r="N262" s="58">
        <f t="shared" ref="N262:N269" si="89">IF(G262=0,"",I262/G262)</f>
        <v>0</v>
      </c>
      <c r="O262" s="217"/>
      <c r="P262" s="235"/>
      <c r="Q262" s="236"/>
      <c r="R262" s="237"/>
      <c r="S262" s="1">
        <f t="shared" si="63"/>
        <v>0</v>
      </c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" customFormat="1" ht="39.950000000000003" customHeight="1" x14ac:dyDescent="0.25">
      <c r="A263" s="48">
        <v>2</v>
      </c>
      <c r="B263" s="48" t="s">
        <v>23</v>
      </c>
      <c r="C263" s="76" t="s">
        <v>450</v>
      </c>
      <c r="D263" s="78" t="s">
        <v>40</v>
      </c>
      <c r="E263" s="97">
        <v>1470</v>
      </c>
      <c r="F263" s="61">
        <v>490</v>
      </c>
      <c r="G263" s="61">
        <f t="shared" si="83"/>
        <v>720300</v>
      </c>
      <c r="H263" s="54">
        <f t="shared" si="86"/>
        <v>0</v>
      </c>
      <c r="I263" s="55">
        <f t="shared" si="84"/>
        <v>0</v>
      </c>
      <c r="J263" s="64"/>
      <c r="K263" s="134">
        <f t="shared" si="85"/>
        <v>0</v>
      </c>
      <c r="L263" s="57">
        <f t="shared" si="87"/>
        <v>1470</v>
      </c>
      <c r="M263" s="61">
        <f t="shared" si="88"/>
        <v>720300</v>
      </c>
      <c r="N263" s="58">
        <f t="shared" si="89"/>
        <v>0</v>
      </c>
      <c r="O263" s="217"/>
      <c r="P263" s="235"/>
      <c r="Q263" s="236"/>
      <c r="R263" s="237"/>
      <c r="S263" s="1">
        <f t="shared" si="63"/>
        <v>0</v>
      </c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" customFormat="1" ht="54.75" customHeight="1" x14ac:dyDescent="0.25">
      <c r="A264" s="48">
        <v>2</v>
      </c>
      <c r="B264" s="48" t="s">
        <v>66</v>
      </c>
      <c r="C264" s="76" t="s">
        <v>71</v>
      </c>
      <c r="D264" s="78" t="s">
        <v>5</v>
      </c>
      <c r="E264" s="97">
        <v>102.68</v>
      </c>
      <c r="F264" s="61">
        <v>36.93</v>
      </c>
      <c r="G264" s="61">
        <f t="shared" si="83"/>
        <v>3791.97</v>
      </c>
      <c r="H264" s="54">
        <f t="shared" si="86"/>
        <v>0</v>
      </c>
      <c r="I264" s="55">
        <f t="shared" si="84"/>
        <v>0</v>
      </c>
      <c r="J264" s="64"/>
      <c r="K264" s="134">
        <f t="shared" si="85"/>
        <v>0</v>
      </c>
      <c r="L264" s="57">
        <f t="shared" si="87"/>
        <v>102.68</v>
      </c>
      <c r="M264" s="61">
        <f t="shared" si="88"/>
        <v>3791.97</v>
      </c>
      <c r="N264" s="58">
        <f t="shared" si="89"/>
        <v>0</v>
      </c>
      <c r="O264" s="217"/>
      <c r="P264" s="235"/>
      <c r="Q264" s="236"/>
      <c r="R264" s="237"/>
      <c r="S264" s="1">
        <f t="shared" si="63"/>
        <v>0</v>
      </c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3" customFormat="1" ht="61.5" customHeight="1" x14ac:dyDescent="0.25">
      <c r="A265" s="48">
        <v>2</v>
      </c>
      <c r="B265" s="48" t="s">
        <v>67</v>
      </c>
      <c r="C265" s="76" t="s">
        <v>451</v>
      </c>
      <c r="D265" s="78" t="s">
        <v>5</v>
      </c>
      <c r="E265" s="97">
        <v>18</v>
      </c>
      <c r="F265" s="61">
        <v>314.29000000000002</v>
      </c>
      <c r="G265" s="61">
        <f t="shared" si="83"/>
        <v>5657.22</v>
      </c>
      <c r="H265" s="54">
        <f t="shared" si="86"/>
        <v>0</v>
      </c>
      <c r="I265" s="55">
        <f t="shared" si="84"/>
        <v>0</v>
      </c>
      <c r="J265" s="64"/>
      <c r="K265" s="134">
        <f t="shared" si="85"/>
        <v>0</v>
      </c>
      <c r="L265" s="57">
        <f t="shared" si="87"/>
        <v>18</v>
      </c>
      <c r="M265" s="61">
        <f t="shared" si="88"/>
        <v>5657.22</v>
      </c>
      <c r="N265" s="58">
        <f t="shared" si="89"/>
        <v>0</v>
      </c>
      <c r="O265" s="217"/>
      <c r="P265" s="235"/>
      <c r="Q265" s="236"/>
      <c r="R265" s="237"/>
      <c r="S265" s="1">
        <f t="shared" si="63"/>
        <v>0</v>
      </c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3" customFormat="1" ht="77.25" customHeight="1" x14ac:dyDescent="0.25">
      <c r="A266" s="48">
        <v>2</v>
      </c>
      <c r="B266" s="48" t="s">
        <v>69</v>
      </c>
      <c r="C266" s="80" t="s">
        <v>452</v>
      </c>
      <c r="D266" s="81" t="s">
        <v>5</v>
      </c>
      <c r="E266" s="100">
        <v>37110.5</v>
      </c>
      <c r="F266" s="53">
        <v>10</v>
      </c>
      <c r="G266" s="53">
        <f t="shared" si="83"/>
        <v>371105</v>
      </c>
      <c r="H266" s="54">
        <f t="shared" si="86"/>
        <v>0</v>
      </c>
      <c r="I266" s="55">
        <f t="shared" si="84"/>
        <v>0</v>
      </c>
      <c r="J266" s="64"/>
      <c r="K266" s="134">
        <f t="shared" si="85"/>
        <v>0</v>
      </c>
      <c r="L266" s="57">
        <f t="shared" si="87"/>
        <v>37110.5</v>
      </c>
      <c r="M266" s="53">
        <f t="shared" si="88"/>
        <v>371105</v>
      </c>
      <c r="N266" s="58">
        <f t="shared" si="89"/>
        <v>0</v>
      </c>
      <c r="O266" s="217"/>
      <c r="P266" s="235"/>
      <c r="Q266" s="236"/>
      <c r="R266" s="237"/>
      <c r="S266" s="1">
        <f t="shared" si="63"/>
        <v>0</v>
      </c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" customFormat="1" ht="39.950000000000003" customHeight="1" x14ac:dyDescent="0.25">
      <c r="A267" s="48">
        <v>2</v>
      </c>
      <c r="B267" s="48" t="s">
        <v>70</v>
      </c>
      <c r="C267" s="76" t="s">
        <v>453</v>
      </c>
      <c r="D267" s="78" t="s">
        <v>143</v>
      </c>
      <c r="E267" s="97">
        <v>371105</v>
      </c>
      <c r="F267" s="61">
        <v>1.39</v>
      </c>
      <c r="G267" s="61">
        <f t="shared" si="83"/>
        <v>515835.95</v>
      </c>
      <c r="H267" s="54">
        <f t="shared" si="86"/>
        <v>0</v>
      </c>
      <c r="I267" s="55">
        <f t="shared" si="84"/>
        <v>0</v>
      </c>
      <c r="J267" s="64"/>
      <c r="K267" s="134">
        <f t="shared" si="85"/>
        <v>0</v>
      </c>
      <c r="L267" s="57">
        <f t="shared" si="87"/>
        <v>371105</v>
      </c>
      <c r="M267" s="61">
        <f t="shared" si="88"/>
        <v>515835.95</v>
      </c>
      <c r="N267" s="58">
        <f t="shared" si="89"/>
        <v>0</v>
      </c>
      <c r="O267" s="217"/>
      <c r="P267" s="235"/>
      <c r="Q267" s="236"/>
      <c r="R267" s="237"/>
      <c r="S267" s="1">
        <f t="shared" si="63"/>
        <v>0</v>
      </c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3" customFormat="1" ht="39.950000000000003" customHeight="1" x14ac:dyDescent="0.25">
      <c r="A268" s="48">
        <v>2</v>
      </c>
      <c r="B268" s="48" t="s">
        <v>456</v>
      </c>
      <c r="C268" s="76" t="s">
        <v>454</v>
      </c>
      <c r="D268" s="78" t="s">
        <v>8</v>
      </c>
      <c r="E268" s="97">
        <v>3711.05</v>
      </c>
      <c r="F268" s="61">
        <v>23.44</v>
      </c>
      <c r="G268" s="61">
        <f t="shared" si="83"/>
        <v>86987.01</v>
      </c>
      <c r="H268" s="54">
        <f t="shared" si="86"/>
        <v>0</v>
      </c>
      <c r="I268" s="55">
        <f t="shared" si="84"/>
        <v>0</v>
      </c>
      <c r="J268" s="64"/>
      <c r="K268" s="134">
        <f t="shared" si="85"/>
        <v>0</v>
      </c>
      <c r="L268" s="57">
        <f t="shared" si="87"/>
        <v>3711.05</v>
      </c>
      <c r="M268" s="61">
        <f t="shared" si="88"/>
        <v>86987.01</v>
      </c>
      <c r="N268" s="58">
        <f t="shared" si="89"/>
        <v>0</v>
      </c>
      <c r="O268" s="217"/>
      <c r="P268" s="235"/>
      <c r="Q268" s="236"/>
      <c r="R268" s="237"/>
      <c r="S268" s="1">
        <f t="shared" si="63"/>
        <v>0</v>
      </c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" customFormat="1" ht="39.950000000000003" customHeight="1" x14ac:dyDescent="0.25">
      <c r="A269" s="48">
        <v>2</v>
      </c>
      <c r="B269" s="48" t="s">
        <v>457</v>
      </c>
      <c r="C269" s="76" t="s">
        <v>455</v>
      </c>
      <c r="D269" s="78" t="s">
        <v>5</v>
      </c>
      <c r="E269" s="97">
        <v>33399.449999999997</v>
      </c>
      <c r="F269" s="61">
        <v>4.6100000000000003</v>
      </c>
      <c r="G269" s="61">
        <f t="shared" si="83"/>
        <v>153971.46</v>
      </c>
      <c r="H269" s="54">
        <f t="shared" si="86"/>
        <v>0</v>
      </c>
      <c r="I269" s="55">
        <f t="shared" si="84"/>
        <v>0</v>
      </c>
      <c r="J269" s="64"/>
      <c r="K269" s="134">
        <f t="shared" si="85"/>
        <v>0</v>
      </c>
      <c r="L269" s="57">
        <f t="shared" si="87"/>
        <v>33399.449999999997</v>
      </c>
      <c r="M269" s="61">
        <f t="shared" si="88"/>
        <v>153971.46</v>
      </c>
      <c r="N269" s="58">
        <f t="shared" si="89"/>
        <v>0</v>
      </c>
      <c r="O269" s="217"/>
      <c r="P269" s="235"/>
      <c r="Q269" s="236"/>
      <c r="R269" s="237"/>
      <c r="S269" s="1">
        <f t="shared" ref="S269:S307" si="90">SUM(T269:AK269)</f>
        <v>0</v>
      </c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" customFormat="1" ht="39.950000000000003" customHeight="1" x14ac:dyDescent="0.25">
      <c r="A270" s="47"/>
      <c r="B270" s="47"/>
      <c r="C270" s="317" t="s">
        <v>472</v>
      </c>
      <c r="D270" s="318"/>
      <c r="E270" s="318"/>
      <c r="F270" s="318"/>
      <c r="G270" s="318"/>
      <c r="H270" s="318"/>
      <c r="I270" s="318"/>
      <c r="J270" s="318"/>
      <c r="K270" s="318"/>
      <c r="L270" s="318"/>
      <c r="M270" s="318"/>
      <c r="N270" s="319"/>
      <c r="O270" s="217"/>
      <c r="P270" s="235"/>
      <c r="Q270" s="236"/>
      <c r="R270" s="237"/>
      <c r="S270" s="1">
        <f t="shared" si="90"/>
        <v>0</v>
      </c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" customFormat="1" ht="39.950000000000003" customHeight="1" x14ac:dyDescent="0.25">
      <c r="A271" s="67" t="s">
        <v>458</v>
      </c>
      <c r="B271" s="67" t="s">
        <v>459</v>
      </c>
      <c r="C271" s="60" t="s">
        <v>460</v>
      </c>
      <c r="D271" s="98" t="s">
        <v>8</v>
      </c>
      <c r="E271" s="97">
        <v>79</v>
      </c>
      <c r="F271" s="52">
        <v>745.38</v>
      </c>
      <c r="G271" s="61">
        <f t="shared" ref="G271" si="91">E271*F271</f>
        <v>58885.02</v>
      </c>
      <c r="H271" s="54">
        <f t="shared" ref="H271:H277" si="92">S271+J271</f>
        <v>0</v>
      </c>
      <c r="I271" s="55">
        <f t="shared" si="84"/>
        <v>0</v>
      </c>
      <c r="J271" s="64"/>
      <c r="K271" s="134">
        <f t="shared" si="85"/>
        <v>0</v>
      </c>
      <c r="L271" s="57">
        <f t="shared" ref="L271:L277" si="93">E271-H271</f>
        <v>79</v>
      </c>
      <c r="M271" s="61">
        <f t="shared" ref="M271:M277" si="94">L271*F271</f>
        <v>58885.02</v>
      </c>
      <c r="N271" s="58">
        <f t="shared" ref="N271:N277" si="95">IF(G271=0,"",I271/G271)</f>
        <v>0</v>
      </c>
      <c r="O271" s="217"/>
      <c r="P271" s="235"/>
      <c r="Q271" s="236"/>
      <c r="R271" s="237"/>
      <c r="S271" s="1">
        <f t="shared" si="90"/>
        <v>0</v>
      </c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" customFormat="1" ht="39.950000000000003" customHeight="1" x14ac:dyDescent="0.25">
      <c r="A272" s="67" t="s">
        <v>458</v>
      </c>
      <c r="B272" s="67" t="s">
        <v>466</v>
      </c>
      <c r="C272" s="60" t="s">
        <v>461</v>
      </c>
      <c r="D272" s="98" t="s">
        <v>8</v>
      </c>
      <c r="E272" s="97">
        <v>80</v>
      </c>
      <c r="F272" s="52">
        <v>1898.91</v>
      </c>
      <c r="G272" s="61">
        <f t="shared" ref="G272" si="96">E272*F272</f>
        <v>151912.79999999999</v>
      </c>
      <c r="H272" s="54">
        <f t="shared" si="92"/>
        <v>0</v>
      </c>
      <c r="I272" s="55">
        <f t="shared" si="84"/>
        <v>0</v>
      </c>
      <c r="J272" s="64"/>
      <c r="K272" s="134">
        <f t="shared" si="85"/>
        <v>0</v>
      </c>
      <c r="L272" s="57">
        <f t="shared" si="93"/>
        <v>80</v>
      </c>
      <c r="M272" s="61">
        <f t="shared" si="94"/>
        <v>151912.79999999999</v>
      </c>
      <c r="N272" s="58">
        <f t="shared" si="95"/>
        <v>0</v>
      </c>
      <c r="O272" s="217"/>
      <c r="P272" s="235"/>
      <c r="Q272" s="236"/>
      <c r="R272" s="237"/>
      <c r="S272" s="1">
        <f t="shared" si="90"/>
        <v>0</v>
      </c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3" customFormat="1" ht="39.950000000000003" customHeight="1" x14ac:dyDescent="0.25">
      <c r="A273" s="67" t="s">
        <v>458</v>
      </c>
      <c r="B273" s="67" t="s">
        <v>467</v>
      </c>
      <c r="C273" s="60" t="s">
        <v>462</v>
      </c>
      <c r="D273" s="98" t="s">
        <v>8</v>
      </c>
      <c r="E273" s="97">
        <v>69</v>
      </c>
      <c r="F273" s="52">
        <v>2070.34</v>
      </c>
      <c r="G273" s="61">
        <f t="shared" ref="G273:G283" si="97">E273*F273</f>
        <v>142853.46</v>
      </c>
      <c r="H273" s="54">
        <f t="shared" si="92"/>
        <v>0</v>
      </c>
      <c r="I273" s="55">
        <f t="shared" si="84"/>
        <v>0</v>
      </c>
      <c r="J273" s="64"/>
      <c r="K273" s="134">
        <f t="shared" si="85"/>
        <v>0</v>
      </c>
      <c r="L273" s="57">
        <f t="shared" si="93"/>
        <v>69</v>
      </c>
      <c r="M273" s="61">
        <f t="shared" si="94"/>
        <v>142853.46</v>
      </c>
      <c r="N273" s="58">
        <f t="shared" si="95"/>
        <v>0</v>
      </c>
      <c r="O273" s="217"/>
      <c r="P273" s="235"/>
      <c r="Q273" s="236"/>
      <c r="R273" s="237"/>
      <c r="S273" s="1">
        <f t="shared" si="90"/>
        <v>0</v>
      </c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" customFormat="1" ht="39.950000000000003" customHeight="1" x14ac:dyDescent="0.25">
      <c r="A274" s="67" t="s">
        <v>458</v>
      </c>
      <c r="B274" s="67" t="s">
        <v>468</v>
      </c>
      <c r="C274" s="60" t="s">
        <v>463</v>
      </c>
      <c r="D274" s="98" t="s">
        <v>8</v>
      </c>
      <c r="E274" s="97">
        <v>69</v>
      </c>
      <c r="F274" s="52">
        <v>4391.67</v>
      </c>
      <c r="G274" s="61">
        <f t="shared" si="97"/>
        <v>303025.23</v>
      </c>
      <c r="H274" s="54">
        <f t="shared" si="92"/>
        <v>0</v>
      </c>
      <c r="I274" s="55">
        <f t="shared" si="84"/>
        <v>0</v>
      </c>
      <c r="J274" s="64"/>
      <c r="K274" s="134">
        <f t="shared" si="85"/>
        <v>0</v>
      </c>
      <c r="L274" s="57">
        <f t="shared" si="93"/>
        <v>69</v>
      </c>
      <c r="M274" s="61">
        <f t="shared" si="94"/>
        <v>303025.23</v>
      </c>
      <c r="N274" s="58">
        <f t="shared" si="95"/>
        <v>0</v>
      </c>
      <c r="O274" s="217"/>
      <c r="P274" s="235"/>
      <c r="Q274" s="236"/>
      <c r="R274" s="237"/>
      <c r="S274" s="1">
        <f t="shared" si="90"/>
        <v>0</v>
      </c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" customFormat="1" ht="39.950000000000003" customHeight="1" x14ac:dyDescent="0.25">
      <c r="A275" s="67" t="s">
        <v>458</v>
      </c>
      <c r="B275" s="67" t="s">
        <v>469</v>
      </c>
      <c r="C275" s="76" t="s">
        <v>160</v>
      </c>
      <c r="D275" s="78" t="s">
        <v>5</v>
      </c>
      <c r="E275" s="97">
        <v>297</v>
      </c>
      <c r="F275" s="52">
        <v>325.2</v>
      </c>
      <c r="G275" s="61">
        <f t="shared" si="97"/>
        <v>96584.4</v>
      </c>
      <c r="H275" s="54">
        <f t="shared" si="92"/>
        <v>0</v>
      </c>
      <c r="I275" s="55">
        <f t="shared" si="84"/>
        <v>0</v>
      </c>
      <c r="J275" s="64"/>
      <c r="K275" s="134">
        <f t="shared" si="85"/>
        <v>0</v>
      </c>
      <c r="L275" s="57">
        <f t="shared" si="93"/>
        <v>297</v>
      </c>
      <c r="M275" s="61">
        <f t="shared" si="94"/>
        <v>96584.4</v>
      </c>
      <c r="N275" s="58">
        <f t="shared" si="95"/>
        <v>0</v>
      </c>
      <c r="O275" s="217"/>
      <c r="P275" s="235"/>
      <c r="Q275" s="236"/>
      <c r="R275" s="237"/>
      <c r="S275" s="1">
        <f t="shared" si="90"/>
        <v>0</v>
      </c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" customFormat="1" ht="39.950000000000003" customHeight="1" x14ac:dyDescent="0.25">
      <c r="A276" s="67" t="s">
        <v>458</v>
      </c>
      <c r="B276" s="67" t="s">
        <v>470</v>
      </c>
      <c r="C276" s="76" t="s">
        <v>464</v>
      </c>
      <c r="D276" s="78" t="s">
        <v>40</v>
      </c>
      <c r="E276" s="97">
        <v>1030</v>
      </c>
      <c r="F276" s="52">
        <v>100.99</v>
      </c>
      <c r="G276" s="61">
        <f t="shared" si="97"/>
        <v>104019.7</v>
      </c>
      <c r="H276" s="54">
        <f t="shared" si="92"/>
        <v>0</v>
      </c>
      <c r="I276" s="55">
        <f t="shared" si="84"/>
        <v>0</v>
      </c>
      <c r="J276" s="64"/>
      <c r="K276" s="134">
        <f t="shared" si="85"/>
        <v>0</v>
      </c>
      <c r="L276" s="57">
        <f t="shared" si="93"/>
        <v>1030</v>
      </c>
      <c r="M276" s="61">
        <f t="shared" si="94"/>
        <v>104019.7</v>
      </c>
      <c r="N276" s="58">
        <f t="shared" si="95"/>
        <v>0</v>
      </c>
      <c r="O276" s="217"/>
      <c r="P276" s="235"/>
      <c r="Q276" s="236"/>
      <c r="R276" s="237"/>
      <c r="S276" s="1">
        <f t="shared" si="90"/>
        <v>0</v>
      </c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3" customFormat="1" ht="39.950000000000003" customHeight="1" x14ac:dyDescent="0.25">
      <c r="A277" s="67" t="s">
        <v>458</v>
      </c>
      <c r="B277" s="67" t="s">
        <v>471</v>
      </c>
      <c r="C277" s="76" t="s">
        <v>465</v>
      </c>
      <c r="D277" s="78" t="s">
        <v>7</v>
      </c>
      <c r="E277" s="97">
        <v>12646</v>
      </c>
      <c r="F277" s="52">
        <v>6.78</v>
      </c>
      <c r="G277" s="61">
        <f t="shared" si="97"/>
        <v>85739.88</v>
      </c>
      <c r="H277" s="54">
        <f t="shared" si="92"/>
        <v>0</v>
      </c>
      <c r="I277" s="55">
        <f t="shared" si="84"/>
        <v>0</v>
      </c>
      <c r="J277" s="64"/>
      <c r="K277" s="134">
        <f t="shared" si="85"/>
        <v>0</v>
      </c>
      <c r="L277" s="57">
        <f t="shared" si="93"/>
        <v>12646</v>
      </c>
      <c r="M277" s="61">
        <f t="shared" si="94"/>
        <v>85739.88</v>
      </c>
      <c r="N277" s="58">
        <f t="shared" si="95"/>
        <v>0</v>
      </c>
      <c r="O277" s="217"/>
      <c r="P277" s="235"/>
      <c r="Q277" s="236"/>
      <c r="R277" s="237"/>
      <c r="S277" s="1">
        <f t="shared" si="90"/>
        <v>0</v>
      </c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" customFormat="1" ht="39.950000000000003" customHeight="1" x14ac:dyDescent="0.25">
      <c r="A278" s="47">
        <v>2</v>
      </c>
      <c r="B278" s="47" t="s">
        <v>35</v>
      </c>
      <c r="C278" s="317" t="s">
        <v>473</v>
      </c>
      <c r="D278" s="318"/>
      <c r="E278" s="318"/>
      <c r="F278" s="318"/>
      <c r="G278" s="318"/>
      <c r="H278" s="318"/>
      <c r="I278" s="318"/>
      <c r="J278" s="318"/>
      <c r="K278" s="318"/>
      <c r="L278" s="318"/>
      <c r="M278" s="318"/>
      <c r="N278" s="319"/>
      <c r="O278" s="217"/>
      <c r="P278" s="235"/>
      <c r="Q278" s="236"/>
      <c r="R278" s="237"/>
      <c r="S278" s="1">
        <f t="shared" si="90"/>
        <v>0</v>
      </c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" customFormat="1" ht="39.950000000000003" customHeight="1" x14ac:dyDescent="0.25">
      <c r="A279" s="67">
        <v>2</v>
      </c>
      <c r="B279" s="67" t="s">
        <v>36</v>
      </c>
      <c r="C279" s="76" t="s">
        <v>474</v>
      </c>
      <c r="D279" s="78" t="s">
        <v>5</v>
      </c>
      <c r="E279" s="97">
        <v>15.88</v>
      </c>
      <c r="F279" s="52">
        <v>301.61</v>
      </c>
      <c r="G279" s="61">
        <f t="shared" si="97"/>
        <v>4789.57</v>
      </c>
      <c r="H279" s="54">
        <f t="shared" ref="H279:H285" si="98">S279+J279</f>
        <v>0</v>
      </c>
      <c r="I279" s="55">
        <f t="shared" si="84"/>
        <v>0</v>
      </c>
      <c r="J279" s="64"/>
      <c r="K279" s="134">
        <f t="shared" si="85"/>
        <v>0</v>
      </c>
      <c r="L279" s="57">
        <f t="shared" ref="L279:L285" si="99">E279-H279</f>
        <v>15.88</v>
      </c>
      <c r="M279" s="61">
        <f t="shared" ref="M279:M285" si="100">L279*F279</f>
        <v>4789.57</v>
      </c>
      <c r="N279" s="58">
        <f t="shared" ref="N279:N285" si="101">IF(G279=0,"",I279/G279)</f>
        <v>0</v>
      </c>
      <c r="O279" s="217"/>
      <c r="P279" s="235"/>
      <c r="Q279" s="236"/>
      <c r="R279" s="237"/>
      <c r="S279" s="1">
        <f t="shared" si="90"/>
        <v>0</v>
      </c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" customFormat="1" ht="39.950000000000003" customHeight="1" x14ac:dyDescent="0.25">
      <c r="A280" s="67">
        <v>2</v>
      </c>
      <c r="B280" s="67" t="s">
        <v>37</v>
      </c>
      <c r="C280" s="76" t="s">
        <v>475</v>
      </c>
      <c r="D280" s="78" t="s">
        <v>5</v>
      </c>
      <c r="E280" s="97">
        <v>305.17</v>
      </c>
      <c r="F280" s="52">
        <v>334.16</v>
      </c>
      <c r="G280" s="61">
        <f t="shared" si="97"/>
        <v>101975.61</v>
      </c>
      <c r="H280" s="54">
        <f t="shared" si="98"/>
        <v>0</v>
      </c>
      <c r="I280" s="55">
        <f t="shared" si="84"/>
        <v>0</v>
      </c>
      <c r="J280" s="64"/>
      <c r="K280" s="134">
        <f t="shared" si="85"/>
        <v>0</v>
      </c>
      <c r="L280" s="57">
        <f t="shared" si="99"/>
        <v>305.17</v>
      </c>
      <c r="M280" s="61">
        <f t="shared" si="100"/>
        <v>101975.61</v>
      </c>
      <c r="N280" s="58">
        <f t="shared" si="101"/>
        <v>0</v>
      </c>
      <c r="O280" s="217"/>
      <c r="P280" s="235"/>
      <c r="Q280" s="236"/>
      <c r="R280" s="237"/>
      <c r="S280" s="1">
        <f t="shared" si="90"/>
        <v>0</v>
      </c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3" customFormat="1" ht="39.950000000000003" customHeight="1" x14ac:dyDescent="0.25">
      <c r="A281" s="67">
        <v>2</v>
      </c>
      <c r="B281" s="67" t="s">
        <v>57</v>
      </c>
      <c r="C281" s="76" t="s">
        <v>476</v>
      </c>
      <c r="D281" s="78" t="s">
        <v>40</v>
      </c>
      <c r="E281" s="97">
        <v>760</v>
      </c>
      <c r="F281" s="52">
        <v>84.45</v>
      </c>
      <c r="G281" s="61">
        <f t="shared" si="97"/>
        <v>64182</v>
      </c>
      <c r="H281" s="54">
        <f t="shared" si="98"/>
        <v>0</v>
      </c>
      <c r="I281" s="55">
        <f t="shared" si="84"/>
        <v>0</v>
      </c>
      <c r="J281" s="64"/>
      <c r="K281" s="134">
        <f t="shared" si="85"/>
        <v>0</v>
      </c>
      <c r="L281" s="57">
        <f t="shared" si="99"/>
        <v>760</v>
      </c>
      <c r="M281" s="61">
        <f t="shared" si="100"/>
        <v>64182</v>
      </c>
      <c r="N281" s="58">
        <f t="shared" si="101"/>
        <v>0</v>
      </c>
      <c r="O281" s="217"/>
      <c r="P281" s="235"/>
      <c r="Q281" s="236"/>
      <c r="R281" s="237"/>
      <c r="S281" s="1">
        <f t="shared" si="90"/>
        <v>0</v>
      </c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" customFormat="1" ht="39.950000000000003" customHeight="1" x14ac:dyDescent="0.25">
      <c r="A282" s="67">
        <v>2</v>
      </c>
      <c r="B282" s="67" t="s">
        <v>58</v>
      </c>
      <c r="C282" s="76" t="s">
        <v>465</v>
      </c>
      <c r="D282" s="78" t="s">
        <v>7</v>
      </c>
      <c r="E282" s="97">
        <v>36762</v>
      </c>
      <c r="F282" s="52">
        <v>6.78</v>
      </c>
      <c r="G282" s="61">
        <f t="shared" si="97"/>
        <v>249246.36</v>
      </c>
      <c r="H282" s="54">
        <f t="shared" si="98"/>
        <v>0</v>
      </c>
      <c r="I282" s="55">
        <f t="shared" si="84"/>
        <v>0</v>
      </c>
      <c r="J282" s="64"/>
      <c r="K282" s="134">
        <f t="shared" si="85"/>
        <v>0</v>
      </c>
      <c r="L282" s="57">
        <f t="shared" si="99"/>
        <v>36762</v>
      </c>
      <c r="M282" s="61">
        <f t="shared" si="100"/>
        <v>249246.36</v>
      </c>
      <c r="N282" s="58">
        <f t="shared" si="101"/>
        <v>0</v>
      </c>
      <c r="O282" s="217"/>
      <c r="P282" s="235"/>
      <c r="Q282" s="236"/>
      <c r="R282" s="237"/>
      <c r="S282" s="1">
        <f t="shared" si="90"/>
        <v>0</v>
      </c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3" customFormat="1" ht="39.950000000000003" customHeight="1" x14ac:dyDescent="0.25">
      <c r="A283" s="67">
        <v>2</v>
      </c>
      <c r="B283" s="67" t="s">
        <v>59</v>
      </c>
      <c r="C283" s="76" t="s">
        <v>477</v>
      </c>
      <c r="D283" s="78" t="s">
        <v>478</v>
      </c>
      <c r="E283" s="97">
        <v>100</v>
      </c>
      <c r="F283" s="52">
        <v>11.51</v>
      </c>
      <c r="G283" s="61">
        <f t="shared" si="97"/>
        <v>1151</v>
      </c>
      <c r="H283" s="54">
        <f t="shared" si="98"/>
        <v>0</v>
      </c>
      <c r="I283" s="55">
        <f t="shared" si="84"/>
        <v>0</v>
      </c>
      <c r="J283" s="64"/>
      <c r="K283" s="134">
        <f t="shared" si="85"/>
        <v>0</v>
      </c>
      <c r="L283" s="57">
        <f t="shared" si="99"/>
        <v>100</v>
      </c>
      <c r="M283" s="61">
        <f t="shared" si="100"/>
        <v>1151</v>
      </c>
      <c r="N283" s="58">
        <f t="shared" si="101"/>
        <v>0</v>
      </c>
      <c r="O283" s="217"/>
      <c r="P283" s="235"/>
      <c r="Q283" s="236"/>
      <c r="R283" s="237"/>
      <c r="S283" s="1">
        <f t="shared" si="90"/>
        <v>0</v>
      </c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3" customFormat="1" ht="39.950000000000003" customHeight="1" x14ac:dyDescent="0.25">
      <c r="A284" s="67">
        <v>2</v>
      </c>
      <c r="B284" s="35" t="s">
        <v>60</v>
      </c>
      <c r="C284" s="76" t="s">
        <v>479</v>
      </c>
      <c r="D284" s="78" t="s">
        <v>478</v>
      </c>
      <c r="E284" s="97">
        <v>132</v>
      </c>
      <c r="F284" s="52">
        <v>55.52</v>
      </c>
      <c r="G284" s="61">
        <f>E284*F284</f>
        <v>7328.64</v>
      </c>
      <c r="H284" s="54">
        <f t="shared" si="98"/>
        <v>0</v>
      </c>
      <c r="I284" s="55">
        <f t="shared" si="84"/>
        <v>0</v>
      </c>
      <c r="J284" s="64"/>
      <c r="K284" s="134">
        <f t="shared" si="85"/>
        <v>0</v>
      </c>
      <c r="L284" s="57">
        <f t="shared" si="99"/>
        <v>132</v>
      </c>
      <c r="M284" s="61">
        <f t="shared" si="100"/>
        <v>7328.64</v>
      </c>
      <c r="N284" s="58">
        <f t="shared" si="101"/>
        <v>0</v>
      </c>
      <c r="O284" s="217"/>
      <c r="P284" s="235"/>
      <c r="Q284" s="236"/>
      <c r="R284" s="237"/>
      <c r="S284" s="1">
        <f t="shared" si="90"/>
        <v>0</v>
      </c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3" customFormat="1" ht="39.950000000000003" customHeight="1" x14ac:dyDescent="0.25">
      <c r="A285" s="82">
        <v>2</v>
      </c>
      <c r="B285" s="35" t="s">
        <v>61</v>
      </c>
      <c r="C285" s="76" t="s">
        <v>480</v>
      </c>
      <c r="D285" s="78" t="s">
        <v>8</v>
      </c>
      <c r="E285" s="97">
        <v>4583</v>
      </c>
      <c r="F285" s="52">
        <v>49.6</v>
      </c>
      <c r="G285" s="61">
        <f t="shared" ref="G285:G298" si="102">E285*F285</f>
        <v>227316.8</v>
      </c>
      <c r="H285" s="54">
        <f t="shared" si="98"/>
        <v>0</v>
      </c>
      <c r="I285" s="55">
        <f t="shared" si="84"/>
        <v>0</v>
      </c>
      <c r="J285" s="64"/>
      <c r="K285" s="134">
        <f t="shared" si="85"/>
        <v>0</v>
      </c>
      <c r="L285" s="57">
        <f t="shared" si="99"/>
        <v>4583</v>
      </c>
      <c r="M285" s="61">
        <f t="shared" si="100"/>
        <v>227316.8</v>
      </c>
      <c r="N285" s="58">
        <f t="shared" si="101"/>
        <v>0</v>
      </c>
      <c r="O285" s="217"/>
      <c r="P285" s="235"/>
      <c r="Q285" s="236"/>
      <c r="R285" s="237"/>
      <c r="S285" s="1">
        <f t="shared" si="90"/>
        <v>0</v>
      </c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" customFormat="1" ht="39.950000000000003" customHeight="1" x14ac:dyDescent="0.25">
      <c r="A286" s="47">
        <v>2</v>
      </c>
      <c r="B286" s="47" t="s">
        <v>38</v>
      </c>
      <c r="C286" s="317" t="s">
        <v>481</v>
      </c>
      <c r="D286" s="318"/>
      <c r="E286" s="318"/>
      <c r="F286" s="318"/>
      <c r="G286" s="318"/>
      <c r="H286" s="318"/>
      <c r="I286" s="318"/>
      <c r="J286" s="318"/>
      <c r="K286" s="318"/>
      <c r="L286" s="318"/>
      <c r="M286" s="318"/>
      <c r="N286" s="319"/>
      <c r="O286" s="217"/>
      <c r="P286" s="235"/>
      <c r="Q286" s="236"/>
      <c r="R286" s="237"/>
      <c r="S286" s="1">
        <f t="shared" si="90"/>
        <v>0</v>
      </c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" customFormat="1" ht="39.950000000000003" customHeight="1" x14ac:dyDescent="0.25">
      <c r="A287" s="48">
        <v>2</v>
      </c>
      <c r="B287" s="48" t="s">
        <v>39</v>
      </c>
      <c r="C287" s="76" t="s">
        <v>475</v>
      </c>
      <c r="D287" s="77" t="s">
        <v>135</v>
      </c>
      <c r="E287" s="94">
        <v>661.69</v>
      </c>
      <c r="F287" s="52">
        <v>334.16</v>
      </c>
      <c r="G287" s="61">
        <f t="shared" si="102"/>
        <v>221110.33</v>
      </c>
      <c r="H287" s="54">
        <f t="shared" ref="H287:H302" si="103">S287+J287</f>
        <v>0</v>
      </c>
      <c r="I287" s="55">
        <f t="shared" si="84"/>
        <v>0</v>
      </c>
      <c r="J287" s="64"/>
      <c r="K287" s="134">
        <f t="shared" si="85"/>
        <v>0</v>
      </c>
      <c r="L287" s="57">
        <f t="shared" ref="L287:L302" si="104">E287-H287</f>
        <v>661.69</v>
      </c>
      <c r="M287" s="61">
        <f t="shared" ref="M287:M301" si="105">L287*F287</f>
        <v>221110.33</v>
      </c>
      <c r="N287" s="58">
        <f t="shared" ref="N287:N302" si="106">IF(G287=0,"",I287/G287)</f>
        <v>0</v>
      </c>
      <c r="O287" s="217"/>
      <c r="P287" s="235"/>
      <c r="Q287" s="236"/>
      <c r="R287" s="237"/>
      <c r="S287" s="1">
        <f t="shared" si="90"/>
        <v>0</v>
      </c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" customFormat="1" ht="39.950000000000003" customHeight="1" x14ac:dyDescent="0.25">
      <c r="A288" s="48">
        <v>2</v>
      </c>
      <c r="B288" s="48" t="s">
        <v>95</v>
      </c>
      <c r="C288" s="76" t="s">
        <v>482</v>
      </c>
      <c r="D288" s="78" t="s">
        <v>483</v>
      </c>
      <c r="E288" s="94">
        <v>921</v>
      </c>
      <c r="F288" s="52">
        <v>66.150000000000006</v>
      </c>
      <c r="G288" s="61">
        <f t="shared" si="102"/>
        <v>60924.15</v>
      </c>
      <c r="H288" s="54">
        <f t="shared" si="103"/>
        <v>0</v>
      </c>
      <c r="I288" s="55">
        <f t="shared" si="84"/>
        <v>0</v>
      </c>
      <c r="J288" s="64"/>
      <c r="K288" s="134">
        <f t="shared" si="85"/>
        <v>0</v>
      </c>
      <c r="L288" s="57">
        <f t="shared" si="104"/>
        <v>921</v>
      </c>
      <c r="M288" s="61">
        <f t="shared" si="105"/>
        <v>60924.15</v>
      </c>
      <c r="N288" s="58">
        <f t="shared" si="106"/>
        <v>0</v>
      </c>
      <c r="O288" s="217"/>
      <c r="P288" s="235"/>
      <c r="Q288" s="236"/>
      <c r="R288" s="237"/>
      <c r="S288" s="1">
        <f t="shared" si="90"/>
        <v>0</v>
      </c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3" customFormat="1" ht="39.950000000000003" customHeight="1" x14ac:dyDescent="0.25">
      <c r="A289" s="48">
        <v>2</v>
      </c>
      <c r="B289" s="48" t="s">
        <v>96</v>
      </c>
      <c r="C289" s="76" t="s">
        <v>484</v>
      </c>
      <c r="D289" s="78" t="s">
        <v>40</v>
      </c>
      <c r="E289" s="94">
        <v>1410</v>
      </c>
      <c r="F289" s="52">
        <v>45.96</v>
      </c>
      <c r="G289" s="61">
        <f t="shared" si="102"/>
        <v>64803.6</v>
      </c>
      <c r="H289" s="54">
        <f t="shared" si="103"/>
        <v>0</v>
      </c>
      <c r="I289" s="55">
        <f t="shared" si="84"/>
        <v>0</v>
      </c>
      <c r="J289" s="64"/>
      <c r="K289" s="134">
        <f t="shared" si="85"/>
        <v>0</v>
      </c>
      <c r="L289" s="57">
        <f t="shared" si="104"/>
        <v>1410</v>
      </c>
      <c r="M289" s="61">
        <f t="shared" si="105"/>
        <v>64803.6</v>
      </c>
      <c r="N289" s="58">
        <f t="shared" si="106"/>
        <v>0</v>
      </c>
      <c r="O289" s="217"/>
      <c r="P289" s="235"/>
      <c r="Q289" s="236"/>
      <c r="R289" s="237"/>
      <c r="S289" s="1">
        <f t="shared" si="90"/>
        <v>0</v>
      </c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" customFormat="1" ht="39.950000000000003" customHeight="1" x14ac:dyDescent="0.25">
      <c r="A290" s="48">
        <v>2</v>
      </c>
      <c r="B290" s="48" t="s">
        <v>97</v>
      </c>
      <c r="C290" s="76" t="s">
        <v>476</v>
      </c>
      <c r="D290" s="78" t="s">
        <v>40</v>
      </c>
      <c r="E290" s="94">
        <v>4037</v>
      </c>
      <c r="F290" s="52">
        <v>84.45</v>
      </c>
      <c r="G290" s="61">
        <f t="shared" si="102"/>
        <v>340924.65</v>
      </c>
      <c r="H290" s="54">
        <f t="shared" si="103"/>
        <v>0</v>
      </c>
      <c r="I290" s="55">
        <f t="shared" si="84"/>
        <v>0</v>
      </c>
      <c r="J290" s="64"/>
      <c r="K290" s="134">
        <f t="shared" si="85"/>
        <v>0</v>
      </c>
      <c r="L290" s="57">
        <f t="shared" si="104"/>
        <v>4037</v>
      </c>
      <c r="M290" s="61">
        <f t="shared" si="105"/>
        <v>340924.65</v>
      </c>
      <c r="N290" s="58">
        <f t="shared" si="106"/>
        <v>0</v>
      </c>
      <c r="O290" s="217"/>
      <c r="P290" s="235"/>
      <c r="Q290" s="236"/>
      <c r="R290" s="237"/>
      <c r="S290" s="1">
        <f t="shared" si="90"/>
        <v>0</v>
      </c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" customFormat="1" ht="39.950000000000003" customHeight="1" x14ac:dyDescent="0.25">
      <c r="A291" s="48">
        <v>2</v>
      </c>
      <c r="B291" s="48" t="s">
        <v>98</v>
      </c>
      <c r="C291" s="76" t="s">
        <v>485</v>
      </c>
      <c r="D291" s="78" t="s">
        <v>7</v>
      </c>
      <c r="E291" s="94">
        <v>1916</v>
      </c>
      <c r="F291" s="52">
        <v>7.52</v>
      </c>
      <c r="G291" s="61">
        <f t="shared" si="102"/>
        <v>14408.32</v>
      </c>
      <c r="H291" s="54">
        <f t="shared" si="103"/>
        <v>0</v>
      </c>
      <c r="I291" s="55">
        <f t="shared" si="84"/>
        <v>0</v>
      </c>
      <c r="J291" s="64"/>
      <c r="K291" s="134">
        <f t="shared" si="85"/>
        <v>0</v>
      </c>
      <c r="L291" s="57">
        <f t="shared" si="104"/>
        <v>1916</v>
      </c>
      <c r="M291" s="61">
        <f t="shared" si="105"/>
        <v>14408.32</v>
      </c>
      <c r="N291" s="58">
        <f t="shared" si="106"/>
        <v>0</v>
      </c>
      <c r="O291" s="217"/>
      <c r="P291" s="235"/>
      <c r="Q291" s="236"/>
      <c r="R291" s="237"/>
      <c r="S291" s="1">
        <f t="shared" si="90"/>
        <v>0</v>
      </c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" customFormat="1" ht="39.950000000000003" customHeight="1" x14ac:dyDescent="0.25">
      <c r="A292" s="48">
        <v>2</v>
      </c>
      <c r="B292" s="48" t="s">
        <v>99</v>
      </c>
      <c r="C292" s="76" t="s">
        <v>465</v>
      </c>
      <c r="D292" s="78" t="s">
        <v>7</v>
      </c>
      <c r="E292" s="94">
        <v>127852</v>
      </c>
      <c r="F292" s="52">
        <v>6.78</v>
      </c>
      <c r="G292" s="53">
        <f t="shared" si="102"/>
        <v>866836.56</v>
      </c>
      <c r="H292" s="54">
        <f t="shared" si="103"/>
        <v>0</v>
      </c>
      <c r="I292" s="55">
        <f t="shared" si="84"/>
        <v>0</v>
      </c>
      <c r="J292" s="64"/>
      <c r="K292" s="134">
        <f t="shared" si="85"/>
        <v>0</v>
      </c>
      <c r="L292" s="57">
        <f t="shared" si="104"/>
        <v>127852</v>
      </c>
      <c r="M292" s="53">
        <f t="shared" si="105"/>
        <v>866836.56</v>
      </c>
      <c r="N292" s="58">
        <f t="shared" si="106"/>
        <v>0</v>
      </c>
      <c r="O292" s="217"/>
      <c r="P292" s="235"/>
      <c r="Q292" s="236"/>
      <c r="R292" s="237"/>
      <c r="S292" s="1">
        <f t="shared" si="90"/>
        <v>0</v>
      </c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3" customFormat="1" ht="39.950000000000003" customHeight="1" x14ac:dyDescent="0.25">
      <c r="A293" s="48">
        <v>2</v>
      </c>
      <c r="B293" s="48" t="s">
        <v>100</v>
      </c>
      <c r="C293" s="76" t="s">
        <v>55</v>
      </c>
      <c r="D293" s="78" t="s">
        <v>6</v>
      </c>
      <c r="E293" s="94">
        <v>2820</v>
      </c>
      <c r="F293" s="52">
        <v>2.5</v>
      </c>
      <c r="G293" s="61">
        <f t="shared" si="102"/>
        <v>7050</v>
      </c>
      <c r="H293" s="54">
        <f t="shared" si="103"/>
        <v>0</v>
      </c>
      <c r="I293" s="55">
        <f t="shared" si="84"/>
        <v>0</v>
      </c>
      <c r="J293" s="64"/>
      <c r="K293" s="134">
        <f t="shared" si="85"/>
        <v>0</v>
      </c>
      <c r="L293" s="57">
        <f t="shared" si="104"/>
        <v>2820</v>
      </c>
      <c r="M293" s="61">
        <f t="shared" si="105"/>
        <v>7050</v>
      </c>
      <c r="N293" s="58">
        <f t="shared" si="106"/>
        <v>0</v>
      </c>
      <c r="O293" s="217"/>
      <c r="P293" s="235"/>
      <c r="Q293" s="236"/>
      <c r="R293" s="237"/>
      <c r="S293" s="1">
        <f t="shared" si="90"/>
        <v>0</v>
      </c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" customFormat="1" ht="39.950000000000003" customHeight="1" x14ac:dyDescent="0.25">
      <c r="A294" s="48">
        <v>2</v>
      </c>
      <c r="B294" s="48" t="s">
        <v>101</v>
      </c>
      <c r="C294" s="101" t="s">
        <v>486</v>
      </c>
      <c r="D294" s="102" t="s">
        <v>5</v>
      </c>
      <c r="E294" s="94">
        <v>70.5</v>
      </c>
      <c r="F294" s="73">
        <v>548.74</v>
      </c>
      <c r="G294" s="61">
        <f t="shared" si="102"/>
        <v>38686.17</v>
      </c>
      <c r="H294" s="54">
        <f t="shared" si="103"/>
        <v>0</v>
      </c>
      <c r="I294" s="55">
        <f t="shared" si="84"/>
        <v>0</v>
      </c>
      <c r="J294" s="64"/>
      <c r="K294" s="134">
        <f t="shared" si="85"/>
        <v>0</v>
      </c>
      <c r="L294" s="57">
        <f t="shared" si="104"/>
        <v>70.5</v>
      </c>
      <c r="M294" s="61">
        <f t="shared" si="105"/>
        <v>38686.17</v>
      </c>
      <c r="N294" s="58">
        <f t="shared" si="106"/>
        <v>0</v>
      </c>
      <c r="O294" s="217"/>
      <c r="P294" s="235"/>
      <c r="Q294" s="236"/>
      <c r="R294" s="237"/>
      <c r="S294" s="1">
        <f t="shared" si="90"/>
        <v>0</v>
      </c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3" customFormat="1" ht="39.950000000000003" customHeight="1" x14ac:dyDescent="0.25">
      <c r="A295" s="48">
        <v>2</v>
      </c>
      <c r="B295" s="48" t="s">
        <v>264</v>
      </c>
      <c r="C295" s="49" t="s">
        <v>176</v>
      </c>
      <c r="D295" s="50" t="s">
        <v>137</v>
      </c>
      <c r="E295" s="51">
        <v>1410</v>
      </c>
      <c r="F295" s="52">
        <v>1.47</v>
      </c>
      <c r="G295" s="61">
        <f t="shared" si="102"/>
        <v>2072.6999999999998</v>
      </c>
      <c r="H295" s="54">
        <f t="shared" si="103"/>
        <v>0</v>
      </c>
      <c r="I295" s="55">
        <f t="shared" si="84"/>
        <v>0</v>
      </c>
      <c r="J295" s="64"/>
      <c r="K295" s="134">
        <f t="shared" si="85"/>
        <v>0</v>
      </c>
      <c r="L295" s="57">
        <f t="shared" si="104"/>
        <v>1410</v>
      </c>
      <c r="M295" s="61">
        <f t="shared" si="105"/>
        <v>2072.6999999999998</v>
      </c>
      <c r="N295" s="58">
        <f t="shared" si="106"/>
        <v>0</v>
      </c>
      <c r="O295" s="217"/>
      <c r="P295" s="235"/>
      <c r="Q295" s="236"/>
      <c r="R295" s="237"/>
      <c r="S295" s="1">
        <f t="shared" si="90"/>
        <v>0</v>
      </c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3" customFormat="1" ht="39.950000000000003" customHeight="1" x14ac:dyDescent="0.25">
      <c r="A296" s="48">
        <v>2</v>
      </c>
      <c r="B296" s="48" t="s">
        <v>265</v>
      </c>
      <c r="C296" s="60" t="s">
        <v>487</v>
      </c>
      <c r="D296" s="98" t="s">
        <v>5</v>
      </c>
      <c r="E296" s="94">
        <v>70.5</v>
      </c>
      <c r="F296" s="73">
        <v>630</v>
      </c>
      <c r="G296" s="61">
        <f t="shared" si="102"/>
        <v>44415</v>
      </c>
      <c r="H296" s="54">
        <f t="shared" si="103"/>
        <v>0</v>
      </c>
      <c r="I296" s="55">
        <f t="shared" si="84"/>
        <v>0</v>
      </c>
      <c r="J296" s="64"/>
      <c r="K296" s="134">
        <f t="shared" si="85"/>
        <v>0</v>
      </c>
      <c r="L296" s="57">
        <f t="shared" si="104"/>
        <v>70.5</v>
      </c>
      <c r="M296" s="61">
        <f t="shared" si="105"/>
        <v>44415</v>
      </c>
      <c r="N296" s="58">
        <f t="shared" si="106"/>
        <v>0</v>
      </c>
      <c r="O296" s="217"/>
      <c r="P296" s="235"/>
      <c r="Q296" s="236"/>
      <c r="R296" s="237"/>
      <c r="S296" s="1">
        <f t="shared" si="90"/>
        <v>0</v>
      </c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3" customFormat="1" ht="39.950000000000003" customHeight="1" x14ac:dyDescent="0.25">
      <c r="A297" s="48">
        <v>2</v>
      </c>
      <c r="B297" s="48" t="s">
        <v>266</v>
      </c>
      <c r="C297" s="84" t="s">
        <v>178</v>
      </c>
      <c r="D297" s="50" t="s">
        <v>137</v>
      </c>
      <c r="E297" s="51">
        <v>1410</v>
      </c>
      <c r="F297" s="52">
        <v>1.47</v>
      </c>
      <c r="G297" s="61">
        <f t="shared" si="102"/>
        <v>2072.6999999999998</v>
      </c>
      <c r="H297" s="54">
        <f t="shared" si="103"/>
        <v>0</v>
      </c>
      <c r="I297" s="55">
        <f t="shared" si="84"/>
        <v>0</v>
      </c>
      <c r="J297" s="64"/>
      <c r="K297" s="134">
        <f t="shared" si="85"/>
        <v>0</v>
      </c>
      <c r="L297" s="57">
        <f t="shared" si="104"/>
        <v>1410</v>
      </c>
      <c r="M297" s="61">
        <f t="shared" si="105"/>
        <v>2072.6999999999998</v>
      </c>
      <c r="N297" s="58">
        <f t="shared" si="106"/>
        <v>0</v>
      </c>
      <c r="O297" s="217"/>
      <c r="P297" s="235"/>
      <c r="Q297" s="236"/>
      <c r="R297" s="237"/>
      <c r="S297" s="1">
        <f t="shared" si="90"/>
        <v>0</v>
      </c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3" customFormat="1" ht="39.950000000000003" customHeight="1" x14ac:dyDescent="0.25">
      <c r="A298" s="48">
        <v>2</v>
      </c>
      <c r="B298" s="48" t="s">
        <v>267</v>
      </c>
      <c r="C298" s="76" t="s">
        <v>488</v>
      </c>
      <c r="D298" s="78" t="s">
        <v>42</v>
      </c>
      <c r="E298" s="94">
        <v>104</v>
      </c>
      <c r="F298" s="52">
        <v>548.21</v>
      </c>
      <c r="G298" s="61">
        <f t="shared" si="102"/>
        <v>57013.84</v>
      </c>
      <c r="H298" s="54">
        <f t="shared" si="103"/>
        <v>0</v>
      </c>
      <c r="I298" s="55">
        <f t="shared" si="84"/>
        <v>0</v>
      </c>
      <c r="J298" s="64"/>
      <c r="K298" s="134">
        <f t="shared" si="85"/>
        <v>0</v>
      </c>
      <c r="L298" s="57">
        <f t="shared" si="104"/>
        <v>104</v>
      </c>
      <c r="M298" s="61">
        <f t="shared" si="105"/>
        <v>57013.84</v>
      </c>
      <c r="N298" s="58">
        <f t="shared" si="106"/>
        <v>0</v>
      </c>
      <c r="O298" s="217"/>
      <c r="P298" s="235"/>
      <c r="Q298" s="236"/>
      <c r="R298" s="237"/>
      <c r="S298" s="1">
        <f t="shared" si="90"/>
        <v>0</v>
      </c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s="3" customFormat="1" ht="39.950000000000003" customHeight="1" x14ac:dyDescent="0.25">
      <c r="A299" s="48">
        <v>2</v>
      </c>
      <c r="B299" s="35" t="s">
        <v>268</v>
      </c>
      <c r="C299" s="76" t="s">
        <v>489</v>
      </c>
      <c r="D299" s="78" t="s">
        <v>42</v>
      </c>
      <c r="E299" s="94">
        <v>54</v>
      </c>
      <c r="F299" s="52">
        <v>22.01</v>
      </c>
      <c r="G299" s="61">
        <f>E299*F299</f>
        <v>1188.54</v>
      </c>
      <c r="H299" s="54">
        <f t="shared" si="103"/>
        <v>0</v>
      </c>
      <c r="I299" s="55">
        <f t="shared" si="84"/>
        <v>0</v>
      </c>
      <c r="J299" s="64"/>
      <c r="K299" s="134">
        <f t="shared" si="85"/>
        <v>0</v>
      </c>
      <c r="L299" s="57">
        <f t="shared" si="104"/>
        <v>54</v>
      </c>
      <c r="M299" s="61">
        <f t="shared" si="105"/>
        <v>1188.54</v>
      </c>
      <c r="N299" s="58">
        <f t="shared" si="106"/>
        <v>0</v>
      </c>
      <c r="O299" s="217"/>
      <c r="P299" s="235"/>
      <c r="Q299" s="236"/>
      <c r="R299" s="237"/>
      <c r="S299" s="1">
        <f t="shared" si="90"/>
        <v>0</v>
      </c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s="3" customFormat="1" ht="39.950000000000003" customHeight="1" x14ac:dyDescent="0.25">
      <c r="A300" s="48">
        <v>2</v>
      </c>
      <c r="B300" s="35" t="s">
        <v>269</v>
      </c>
      <c r="C300" s="60" t="s">
        <v>490</v>
      </c>
      <c r="D300" s="98" t="s">
        <v>3</v>
      </c>
      <c r="E300" s="94">
        <v>135</v>
      </c>
      <c r="F300" s="52">
        <v>618.92999999999995</v>
      </c>
      <c r="G300" s="61">
        <f t="shared" ref="G300:G301" si="107">E300*F300</f>
        <v>83555.55</v>
      </c>
      <c r="H300" s="54">
        <f t="shared" si="103"/>
        <v>0</v>
      </c>
      <c r="I300" s="55">
        <f t="shared" si="84"/>
        <v>0</v>
      </c>
      <c r="J300" s="64"/>
      <c r="K300" s="134">
        <f t="shared" si="85"/>
        <v>0</v>
      </c>
      <c r="L300" s="57">
        <f t="shared" si="104"/>
        <v>135</v>
      </c>
      <c r="M300" s="61">
        <f t="shared" si="105"/>
        <v>83555.55</v>
      </c>
      <c r="N300" s="58">
        <f t="shared" si="106"/>
        <v>0</v>
      </c>
      <c r="O300" s="217"/>
      <c r="P300" s="235"/>
      <c r="Q300" s="236"/>
      <c r="R300" s="237"/>
      <c r="S300" s="1">
        <f t="shared" si="90"/>
        <v>0</v>
      </c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s="3" customFormat="1" ht="39.950000000000003" customHeight="1" x14ac:dyDescent="0.25">
      <c r="A301" s="48">
        <v>2</v>
      </c>
      <c r="B301" s="35" t="s">
        <v>270</v>
      </c>
      <c r="C301" s="49" t="s">
        <v>491</v>
      </c>
      <c r="D301" s="98" t="s">
        <v>133</v>
      </c>
      <c r="E301" s="103">
        <v>24</v>
      </c>
      <c r="F301" s="52">
        <v>7168.31</v>
      </c>
      <c r="G301" s="61">
        <f t="shared" si="107"/>
        <v>172039.44</v>
      </c>
      <c r="H301" s="54">
        <f t="shared" si="103"/>
        <v>0</v>
      </c>
      <c r="I301" s="55">
        <f t="shared" si="84"/>
        <v>0</v>
      </c>
      <c r="J301" s="64"/>
      <c r="K301" s="134">
        <f t="shared" si="85"/>
        <v>0</v>
      </c>
      <c r="L301" s="57">
        <f t="shared" si="104"/>
        <v>24</v>
      </c>
      <c r="M301" s="61">
        <f t="shared" si="105"/>
        <v>172039.44</v>
      </c>
      <c r="N301" s="58">
        <f t="shared" si="106"/>
        <v>0</v>
      </c>
      <c r="O301" s="217"/>
      <c r="P301" s="235"/>
      <c r="Q301" s="236"/>
      <c r="R301" s="237"/>
      <c r="S301" s="1">
        <f t="shared" si="90"/>
        <v>0</v>
      </c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3" customFormat="1" ht="39.950000000000003" customHeight="1" x14ac:dyDescent="0.25">
      <c r="A302" s="67"/>
      <c r="B302" s="67"/>
      <c r="C302" s="104"/>
      <c r="D302" s="67"/>
      <c r="E302" s="38"/>
      <c r="F302" s="61"/>
      <c r="G302" s="61"/>
      <c r="H302" s="54">
        <f t="shared" si="103"/>
        <v>0</v>
      </c>
      <c r="I302" s="55">
        <f t="shared" si="84"/>
        <v>0</v>
      </c>
      <c r="J302" s="64"/>
      <c r="K302" s="134">
        <f t="shared" si="85"/>
        <v>0</v>
      </c>
      <c r="L302" s="57">
        <f t="shared" si="104"/>
        <v>0</v>
      </c>
      <c r="M302" s="61"/>
      <c r="N302" s="58" t="str">
        <f t="shared" si="106"/>
        <v/>
      </c>
      <c r="O302" s="217"/>
      <c r="P302" s="235"/>
      <c r="Q302" s="236"/>
      <c r="R302" s="237"/>
      <c r="S302" s="1">
        <f t="shared" si="90"/>
        <v>0</v>
      </c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s="3" customFormat="1" ht="39.950000000000003" customHeight="1" x14ac:dyDescent="0.25">
      <c r="A303" s="309" t="s">
        <v>502</v>
      </c>
      <c r="B303" s="310"/>
      <c r="C303" s="310"/>
      <c r="D303" s="310"/>
      <c r="E303" s="310"/>
      <c r="F303" s="311"/>
      <c r="G303" s="62">
        <f>SUM(G244:G301)</f>
        <v>6217722.0099999998</v>
      </c>
      <c r="H303" s="63"/>
      <c r="I303" s="62">
        <f>SUM(I244:I301)</f>
        <v>842.58</v>
      </c>
      <c r="J303" s="64"/>
      <c r="K303" s="62">
        <f>SUM(K244:K301)</f>
        <v>0</v>
      </c>
      <c r="L303" s="65"/>
      <c r="M303" s="62">
        <f>SUM(M244:M301)</f>
        <v>6216879.4299999997</v>
      </c>
      <c r="N303" s="64">
        <f>E303-L303</f>
        <v>0</v>
      </c>
      <c r="O303" s="217"/>
      <c r="P303" s="235"/>
      <c r="Q303" s="236"/>
      <c r="R303" s="237"/>
      <c r="S303" s="1">
        <f t="shared" si="90"/>
        <v>0</v>
      </c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s="3" customFormat="1" ht="39.950000000000003" customHeight="1" x14ac:dyDescent="0.25">
      <c r="A304" s="105"/>
      <c r="B304" s="105"/>
      <c r="C304" s="104"/>
      <c r="D304" s="37"/>
      <c r="E304" s="38"/>
      <c r="F304" s="61"/>
      <c r="G304" s="61">
        <f>ROUND(E304*F304,2)</f>
        <v>0</v>
      </c>
      <c r="H304" s="106">
        <f t="shared" ref="H304" si="108">J304</f>
        <v>0</v>
      </c>
      <c r="I304" s="56">
        <f t="shared" si="84"/>
        <v>0</v>
      </c>
      <c r="J304" s="64"/>
      <c r="K304" s="139" t="str">
        <f>IF(G304=0,"",M304/G304)</f>
        <v/>
      </c>
      <c r="L304" s="57">
        <f>E304-H304</f>
        <v>0</v>
      </c>
      <c r="M304" s="38">
        <f>ROUND(L304*F304,2)</f>
        <v>0</v>
      </c>
      <c r="N304" s="38">
        <f>E304-L304</f>
        <v>0</v>
      </c>
      <c r="O304" s="217"/>
      <c r="P304" s="235"/>
      <c r="Q304" s="236"/>
      <c r="R304" s="237"/>
      <c r="S304" s="1">
        <f t="shared" si="90"/>
        <v>0</v>
      </c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19" ht="39.950000000000003" customHeight="1" x14ac:dyDescent="0.3">
      <c r="A305" s="107"/>
      <c r="B305" s="108"/>
      <c r="C305" s="107"/>
      <c r="D305" s="109"/>
      <c r="E305" s="110" t="s">
        <v>519</v>
      </c>
      <c r="F305" s="111">
        <f>SUM(G25,G33,G66,G108,G150,G171,G185,G213,G230,G241,G303)</f>
        <v>27837133.260000002</v>
      </c>
      <c r="G305" s="112"/>
      <c r="H305" s="113"/>
      <c r="I305" s="111">
        <f>SUM(I25,I33,I66,I108,I150,I171,I185,I213,I230,I241,I303)</f>
        <v>8027903.3799999999</v>
      </c>
      <c r="J305" s="140"/>
      <c r="K305" s="141">
        <f>SUM(K25,K33,K66,K108,K150,K171,K185,K213,K230,K241,K303)</f>
        <v>306745.73</v>
      </c>
      <c r="L305" s="113"/>
      <c r="M305" s="111">
        <f>SUM(M25,M33,M66,M108,M150,M171,M185,M213,M230,M241,M303)</f>
        <v>19809229.879999999</v>
      </c>
      <c r="N305" s="133">
        <f>I305/F305</f>
        <v>0.28839999999999999</v>
      </c>
      <c r="O305" s="217"/>
      <c r="P305" s="235"/>
      <c r="Q305" s="236"/>
      <c r="R305" s="237"/>
      <c r="S305" s="1">
        <f t="shared" si="90"/>
        <v>0</v>
      </c>
    </row>
    <row r="306" spans="1:19" ht="39.950000000000003" customHeight="1" x14ac:dyDescent="0.3">
      <c r="A306" s="114"/>
      <c r="B306" s="115"/>
      <c r="C306" s="116"/>
      <c r="D306" s="117"/>
      <c r="E306" s="118" t="s">
        <v>522</v>
      </c>
      <c r="F306" s="119">
        <f>F305*0.35</f>
        <v>9742996.6400000006</v>
      </c>
      <c r="G306" s="112"/>
      <c r="H306" s="120"/>
      <c r="I306" s="119">
        <f>I305*0.35</f>
        <v>2809766.18</v>
      </c>
      <c r="J306" s="142"/>
      <c r="K306" s="143">
        <f>K305*0.35</f>
        <v>107361.01</v>
      </c>
      <c r="L306" s="120"/>
      <c r="M306" s="119">
        <f>M305*0.35</f>
        <v>6933230.46</v>
      </c>
      <c r="N306" s="133">
        <f>I306/F306</f>
        <v>0.28839999999999999</v>
      </c>
      <c r="O306" s="217"/>
      <c r="P306" s="235"/>
      <c r="Q306" s="236"/>
      <c r="R306" s="237"/>
      <c r="S306" s="1">
        <f t="shared" si="90"/>
        <v>0</v>
      </c>
    </row>
    <row r="307" spans="1:19" ht="39.950000000000003" customHeight="1" x14ac:dyDescent="0.3">
      <c r="A307" s="116"/>
      <c r="B307" s="115"/>
      <c r="C307" s="116"/>
      <c r="D307" s="117"/>
      <c r="E307" s="118" t="s">
        <v>520</v>
      </c>
      <c r="F307" s="121">
        <f>F305+F306</f>
        <v>37580129.899999999</v>
      </c>
      <c r="G307" s="122"/>
      <c r="H307" s="123"/>
      <c r="I307" s="121">
        <f>(I305+I306)</f>
        <v>10837669.560000001</v>
      </c>
      <c r="J307" s="144"/>
      <c r="K307" s="145">
        <f>K305+K306</f>
        <v>414106.74</v>
      </c>
      <c r="L307" s="123"/>
      <c r="M307" s="121">
        <f>(M305+M306)</f>
        <v>26742460.34</v>
      </c>
      <c r="N307" s="133">
        <f>I307/F307</f>
        <v>0.28839999999999999</v>
      </c>
      <c r="O307" s="217"/>
      <c r="P307" s="235"/>
      <c r="Q307" s="236"/>
      <c r="R307" s="237"/>
      <c r="S307" s="1">
        <f t="shared" si="90"/>
        <v>0</v>
      </c>
    </row>
    <row r="308" spans="1:19" ht="39.950000000000003" customHeight="1" x14ac:dyDescent="0.3">
      <c r="A308" s="269"/>
      <c r="B308" s="270"/>
      <c r="C308" s="271"/>
      <c r="D308" s="272"/>
      <c r="E308" s="273"/>
      <c r="F308" s="274"/>
      <c r="G308" s="275"/>
      <c r="H308" s="276"/>
      <c r="I308" s="274"/>
      <c r="J308" s="278"/>
      <c r="K308" s="279"/>
      <c r="L308" s="276"/>
      <c r="M308" s="274"/>
      <c r="N308" s="277"/>
      <c r="O308" s="217"/>
      <c r="P308" s="235"/>
      <c r="Q308" s="236"/>
      <c r="R308" s="237"/>
    </row>
    <row r="309" spans="1:19" ht="39.950000000000003" customHeight="1" x14ac:dyDescent="0.3">
      <c r="A309" s="315" t="s">
        <v>521</v>
      </c>
      <c r="B309" s="316"/>
      <c r="C309" s="316"/>
      <c r="D309" s="316"/>
      <c r="E309" s="316"/>
      <c r="F309" s="316"/>
      <c r="G309" s="316"/>
      <c r="H309" s="124"/>
      <c r="I309" s="299"/>
      <c r="J309" s="264">
        <f>K307</f>
        <v>414106.74</v>
      </c>
      <c r="K309" s="125"/>
      <c r="L309" s="125"/>
      <c r="M309" s="125"/>
      <c r="N309" s="126"/>
    </row>
    <row r="310" spans="1:19" ht="26.25" x14ac:dyDescent="0.4">
      <c r="A310" s="285"/>
      <c r="B310" s="285"/>
      <c r="C310" s="286"/>
      <c r="D310" s="287"/>
      <c r="E310" s="288"/>
      <c r="F310" s="288"/>
      <c r="G310" s="288"/>
      <c r="J310" s="266"/>
      <c r="K310" s="267"/>
    </row>
    <row r="311" spans="1:19" ht="27.75" x14ac:dyDescent="0.25">
      <c r="A311" s="300" t="s">
        <v>562</v>
      </c>
      <c r="B311" s="301"/>
      <c r="C311" s="301"/>
      <c r="D311" s="301"/>
      <c r="E311" s="301"/>
      <c r="F311" s="301"/>
      <c r="G311" s="302"/>
      <c r="H311" s="280"/>
      <c r="I311" s="281"/>
      <c r="J311" s="282">
        <f>(J309*0.02769)</f>
        <v>11466.62</v>
      </c>
      <c r="K311" s="283"/>
      <c r="L311" s="283"/>
      <c r="M311" s="283"/>
      <c r="N311" s="284"/>
    </row>
    <row r="312" spans="1:19" ht="28.5" x14ac:dyDescent="0.45">
      <c r="A312" s="285"/>
      <c r="B312" s="286"/>
      <c r="C312" s="289"/>
      <c r="D312" s="290"/>
      <c r="E312" s="290"/>
      <c r="F312" s="290"/>
      <c r="G312" s="290"/>
      <c r="H312" s="263"/>
      <c r="I312" s="263"/>
      <c r="J312" s="265"/>
      <c r="K312" s="263"/>
      <c r="L312" s="263"/>
      <c r="M312" s="263"/>
    </row>
    <row r="313" spans="1:19" ht="27.75" x14ac:dyDescent="0.25">
      <c r="A313" s="300" t="s">
        <v>560</v>
      </c>
      <c r="B313" s="301"/>
      <c r="C313" s="301"/>
      <c r="D313" s="301"/>
      <c r="E313" s="301"/>
      <c r="F313" s="301"/>
      <c r="G313" s="302"/>
      <c r="H313" s="280"/>
      <c r="I313" s="281"/>
      <c r="J313" s="282">
        <f>J309+J311</f>
        <v>425573.36</v>
      </c>
      <c r="K313" s="283"/>
      <c r="L313" s="283"/>
      <c r="M313" s="283"/>
      <c r="N313" s="284"/>
    </row>
    <row r="314" spans="1:19" ht="28.5" x14ac:dyDescent="0.45">
      <c r="A314" s="285"/>
      <c r="B314" s="286"/>
      <c r="C314" s="289"/>
      <c r="D314" s="290"/>
      <c r="E314" s="290"/>
      <c r="F314" s="290"/>
      <c r="G314" s="290"/>
      <c r="H314" s="263"/>
      <c r="I314" s="263"/>
      <c r="J314" s="265"/>
      <c r="K314" s="263"/>
      <c r="L314" s="263"/>
      <c r="M314" s="263"/>
    </row>
    <row r="315" spans="1:19" ht="27.75" x14ac:dyDescent="0.25">
      <c r="A315" s="300" t="s">
        <v>563</v>
      </c>
      <c r="B315" s="301"/>
      <c r="C315" s="301"/>
      <c r="D315" s="301"/>
      <c r="E315" s="301"/>
      <c r="F315" s="301"/>
      <c r="G315" s="302"/>
      <c r="H315" s="280"/>
      <c r="I315" s="281"/>
      <c r="J315" s="282">
        <f>(J313*0.0447)</f>
        <v>19023.13</v>
      </c>
      <c r="K315" s="283"/>
      <c r="L315" s="283"/>
      <c r="M315" s="283"/>
      <c r="N315" s="284"/>
    </row>
    <row r="316" spans="1:19" ht="28.5" x14ac:dyDescent="0.45">
      <c r="A316" s="285"/>
      <c r="B316" s="286"/>
      <c r="C316" s="289"/>
      <c r="D316" s="290"/>
      <c r="E316" s="290"/>
      <c r="F316" s="290"/>
      <c r="G316" s="290"/>
      <c r="H316" s="263"/>
      <c r="I316" s="263"/>
      <c r="J316" s="265"/>
      <c r="K316" s="263"/>
      <c r="L316" s="263"/>
      <c r="M316" s="263"/>
    </row>
    <row r="317" spans="1:19" ht="27.75" x14ac:dyDescent="0.25">
      <c r="A317" s="300" t="s">
        <v>561</v>
      </c>
      <c r="B317" s="301"/>
      <c r="C317" s="301"/>
      <c r="D317" s="301"/>
      <c r="E317" s="301"/>
      <c r="F317" s="301"/>
      <c r="G317" s="302"/>
      <c r="H317" s="280"/>
      <c r="I317" s="281"/>
      <c r="J317" s="282">
        <f>J313+J315</f>
        <v>444596.49</v>
      </c>
      <c r="K317" s="283"/>
      <c r="L317" s="283"/>
      <c r="M317" s="283"/>
      <c r="N317" s="284"/>
    </row>
    <row r="318" spans="1:19" x14ac:dyDescent="0.25">
      <c r="J318" s="268"/>
      <c r="K318" s="267"/>
    </row>
    <row r="319" spans="1:19" x14ac:dyDescent="0.25">
      <c r="J319" s="268"/>
      <c r="K319" s="267"/>
    </row>
  </sheetData>
  <sheetProtection selectLockedCells="1" selectUnlockedCells="1"/>
  <autoFilter ref="A12:N309" xr:uid="{00000000-0001-0000-0100-000000000000}"/>
  <mergeCells count="33">
    <mergeCell ref="C14:N14"/>
    <mergeCell ref="A25:F25"/>
    <mergeCell ref="A11:B11"/>
    <mergeCell ref="A33:E33"/>
    <mergeCell ref="A303:F303"/>
    <mergeCell ref="A66:F66"/>
    <mergeCell ref="A108:F108"/>
    <mergeCell ref="A150:F150"/>
    <mergeCell ref="A241:F241"/>
    <mergeCell ref="A171:F171"/>
    <mergeCell ref="A185:F185"/>
    <mergeCell ref="A1:M1"/>
    <mergeCell ref="A2:M2"/>
    <mergeCell ref="A3:M3"/>
    <mergeCell ref="A5:D5"/>
    <mergeCell ref="G5:H5"/>
    <mergeCell ref="K5:N5"/>
    <mergeCell ref="A311:G311"/>
    <mergeCell ref="A313:G313"/>
    <mergeCell ref="A315:G315"/>
    <mergeCell ref="A317:G317"/>
    <mergeCell ref="K7:N7"/>
    <mergeCell ref="K9:N9"/>
    <mergeCell ref="A7:I7"/>
    <mergeCell ref="A213:F213"/>
    <mergeCell ref="C242:N242"/>
    <mergeCell ref="A230:F230"/>
    <mergeCell ref="A309:G309"/>
    <mergeCell ref="C243:N243"/>
    <mergeCell ref="C261:N261"/>
    <mergeCell ref="C270:N270"/>
    <mergeCell ref="C278:N278"/>
    <mergeCell ref="C286:N286"/>
  </mergeCells>
  <phoneticPr fontId="3" type="noConversion"/>
  <conditionalFormatting sqref="N1:N52 N54:N56 N146:N301 N59 N312 N314 N316 N318:N1048576 N303:N310 N64:N142">
    <cfRule type="cellIs" dxfId="11" priority="13" operator="equal">
      <formula>1</formula>
    </cfRule>
    <cfRule type="cellIs" dxfId="10" priority="14" operator="greaterThan">
      <formula>100</formula>
    </cfRule>
  </conditionalFormatting>
  <conditionalFormatting sqref="N143:N145">
    <cfRule type="cellIs" dxfId="9" priority="9" operator="equal">
      <formula>1</formula>
    </cfRule>
    <cfRule type="cellIs" dxfId="8" priority="10" operator="greaterThan">
      <formula>100</formula>
    </cfRule>
  </conditionalFormatting>
  <conditionalFormatting sqref="N60:N63">
    <cfRule type="cellIs" dxfId="7" priority="7" operator="equal">
      <formula>1</formula>
    </cfRule>
    <cfRule type="cellIs" dxfId="6" priority="8" operator="greaterThan">
      <formula>100</formula>
    </cfRule>
  </conditionalFormatting>
  <conditionalFormatting sqref="N53">
    <cfRule type="cellIs" dxfId="5" priority="5" operator="equal">
      <formula>1</formula>
    </cfRule>
    <cfRule type="cellIs" dxfId="4" priority="6" operator="greaterThan">
      <formula>100</formula>
    </cfRule>
  </conditionalFormatting>
  <conditionalFormatting sqref="N57">
    <cfRule type="cellIs" dxfId="3" priority="3" operator="equal">
      <formula>1</formula>
    </cfRule>
    <cfRule type="cellIs" dxfId="2" priority="4" operator="greaterThan">
      <formula>100</formula>
    </cfRule>
  </conditionalFormatting>
  <conditionalFormatting sqref="N58">
    <cfRule type="cellIs" dxfId="1" priority="1" operator="equal">
      <formula>1</formula>
    </cfRule>
    <cfRule type="cellIs" dxfId="0" priority="2" operator="greaterThan">
      <formula>100</formula>
    </cfRule>
  </conditionalFormatting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41" firstPageNumber="0" fitToHeight="0" orientation="landscape" verticalDpi="300" r:id="rId1"/>
  <headerFooter alignWithMargins="0"/>
  <rowBreaks count="1" manualBreakCount="1">
    <brk id="276" max="13" man="1"/>
  </rowBreaks>
  <ignoredErrors>
    <ignoredError sqref="I303 J85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BB56-923C-486D-994B-42ED42152E24}">
  <dimension ref="A1:L12"/>
  <sheetViews>
    <sheetView workbookViewId="0">
      <selection activeCell="H4" sqref="H4:H7"/>
    </sheetView>
  </sheetViews>
  <sheetFormatPr defaultRowHeight="12.75" x14ac:dyDescent="0.2"/>
  <cols>
    <col min="1" max="1" width="25.140625" bestFit="1" customWidth="1"/>
    <col min="2" max="4" width="14.28515625" style="225" bestFit="1" customWidth="1"/>
    <col min="5" max="5" width="18.28515625" style="225" bestFit="1" customWidth="1"/>
    <col min="6" max="6" width="22.42578125" style="225" bestFit="1" customWidth="1"/>
    <col min="7" max="7" width="17.28515625" style="225" bestFit="1" customWidth="1"/>
    <col min="8" max="8" width="16" style="225" bestFit="1" customWidth="1"/>
    <col min="9" max="12" width="9.140625" style="225"/>
  </cols>
  <sheetData>
    <row r="1" spans="1:8" x14ac:dyDescent="0.2">
      <c r="A1" s="227"/>
      <c r="B1" s="228"/>
      <c r="C1" s="228"/>
      <c r="D1" s="228"/>
      <c r="E1" s="228"/>
    </row>
    <row r="2" spans="1:8" x14ac:dyDescent="0.2">
      <c r="A2" s="227"/>
      <c r="B2" s="233" t="s">
        <v>554</v>
      </c>
      <c r="C2" s="233" t="s">
        <v>555</v>
      </c>
      <c r="D2" s="234" t="s">
        <v>559</v>
      </c>
      <c r="E2" s="234" t="s">
        <v>565</v>
      </c>
      <c r="F2" s="234" t="s">
        <v>564</v>
      </c>
      <c r="G2" s="234" t="s">
        <v>566</v>
      </c>
      <c r="H2" s="234" t="s">
        <v>567</v>
      </c>
    </row>
    <row r="3" spans="1:8" x14ac:dyDescent="0.2">
      <c r="A3" s="227"/>
      <c r="B3" s="229"/>
      <c r="C3" s="229">
        <v>0.35</v>
      </c>
      <c r="D3" s="228"/>
      <c r="E3" s="228"/>
    </row>
    <row r="4" spans="1:8" x14ac:dyDescent="0.2">
      <c r="A4" s="227" t="s">
        <v>556</v>
      </c>
      <c r="B4" s="230">
        <f>SUM('13° MEDIÇÃO'!K66)</f>
        <v>2691.41</v>
      </c>
      <c r="C4" s="230">
        <f>B4*$C$3</f>
        <v>941.99</v>
      </c>
      <c r="D4" s="230">
        <f>SUM(B4:C4)</f>
        <v>3633.4</v>
      </c>
      <c r="E4" s="230">
        <f>D4*2.769%</f>
        <v>100.61</v>
      </c>
      <c r="F4" s="296">
        <f>SUM(D4:E4)</f>
        <v>3734.01</v>
      </c>
      <c r="G4" s="296">
        <f>F4*4.47%</f>
        <v>166.91</v>
      </c>
      <c r="H4" s="297">
        <f>SUM(F4:G4)</f>
        <v>3900.92</v>
      </c>
    </row>
    <row r="5" spans="1:8" x14ac:dyDescent="0.2">
      <c r="A5" s="227" t="s">
        <v>557</v>
      </c>
      <c r="B5" s="230">
        <f>SUM('13° MEDIÇÃO'!K108)</f>
        <v>223711.48</v>
      </c>
      <c r="C5" s="230">
        <f>B5*$C$3</f>
        <v>78299.02</v>
      </c>
      <c r="D5" s="230">
        <f t="shared" ref="D5:D7" si="0">SUM(B5:C5)</f>
        <v>302010.5</v>
      </c>
      <c r="E5" s="230">
        <f t="shared" ref="E5:E7" si="1">D5*2.769%</f>
        <v>8362.67</v>
      </c>
      <c r="F5" s="296">
        <f t="shared" ref="F5:F7" si="2">SUM(D5:E5)</f>
        <v>310373.17</v>
      </c>
      <c r="G5" s="296">
        <f t="shared" ref="G5:G7" si="3">F5*4.47%</f>
        <v>13873.68</v>
      </c>
      <c r="H5" s="297">
        <f t="shared" ref="H5:H7" si="4">SUM(F5:G5)</f>
        <v>324246.84999999998</v>
      </c>
    </row>
    <row r="6" spans="1:8" x14ac:dyDescent="0.2">
      <c r="A6" s="227" t="s">
        <v>229</v>
      </c>
      <c r="B6" s="230">
        <f>SUM('13° MEDIÇÃO'!K150,'13° MEDIÇÃO'!K171,'13° MEDIÇÃO'!K185)</f>
        <v>55946.99</v>
      </c>
      <c r="C6" s="230">
        <f>B6*$C$3</f>
        <v>19581.45</v>
      </c>
      <c r="D6" s="230">
        <f t="shared" si="0"/>
        <v>75528.44</v>
      </c>
      <c r="E6" s="230">
        <f t="shared" si="1"/>
        <v>2091.38</v>
      </c>
      <c r="F6" s="296">
        <f t="shared" si="2"/>
        <v>77619.820000000007</v>
      </c>
      <c r="G6" s="296">
        <f t="shared" si="3"/>
        <v>3469.61</v>
      </c>
      <c r="H6" s="297">
        <f t="shared" si="4"/>
        <v>81089.429999999993</v>
      </c>
    </row>
    <row r="7" spans="1:8" x14ac:dyDescent="0.2">
      <c r="A7" s="227" t="s">
        <v>558</v>
      </c>
      <c r="B7" s="230">
        <f>SUM('13° MEDIÇÃO'!K33,'13° MEDIÇÃO'!K241,'13° MEDIÇÃO'!K25)</f>
        <v>24395.85</v>
      </c>
      <c r="C7" s="230">
        <f>B7*$C$3</f>
        <v>8538.5499999999993</v>
      </c>
      <c r="D7" s="230">
        <f t="shared" si="0"/>
        <v>32934.400000000001</v>
      </c>
      <c r="E7" s="230">
        <f t="shared" si="1"/>
        <v>911.95</v>
      </c>
      <c r="F7" s="296">
        <f t="shared" si="2"/>
        <v>33846.35</v>
      </c>
      <c r="G7" s="296">
        <f t="shared" si="3"/>
        <v>1512.93</v>
      </c>
      <c r="H7" s="297">
        <f t="shared" si="4"/>
        <v>35359.279999999999</v>
      </c>
    </row>
    <row r="8" spans="1:8" x14ac:dyDescent="0.2">
      <c r="A8" s="227"/>
      <c r="B8" s="230"/>
      <c r="C8" s="230"/>
      <c r="D8" s="230"/>
      <c r="E8" s="228"/>
      <c r="H8" s="297"/>
    </row>
    <row r="9" spans="1:8" x14ac:dyDescent="0.2">
      <c r="A9" s="227" t="s">
        <v>554</v>
      </c>
      <c r="B9" s="230">
        <f>SUM(B4:B8)</f>
        <v>306745.73</v>
      </c>
      <c r="C9" s="230">
        <f>SUM(C4:C7)</f>
        <v>107361.01</v>
      </c>
      <c r="D9" s="232">
        <f>SUM(D4:D7)</f>
        <v>414106.74</v>
      </c>
      <c r="E9" s="228"/>
      <c r="H9" s="298">
        <f>SUM(H4:H7)</f>
        <v>444596.47999999998</v>
      </c>
    </row>
    <row r="10" spans="1:8" x14ac:dyDescent="0.2">
      <c r="A10" s="227"/>
      <c r="B10" s="230"/>
      <c r="C10" s="230"/>
      <c r="D10" s="230"/>
      <c r="E10" s="228"/>
    </row>
    <row r="11" spans="1:8" x14ac:dyDescent="0.2">
      <c r="A11" s="227"/>
      <c r="B11" s="228"/>
      <c r="C11" s="228"/>
      <c r="D11" s="228"/>
      <c r="E11" s="228"/>
    </row>
    <row r="12" spans="1:8" x14ac:dyDescent="0.2">
      <c r="A12" s="227"/>
      <c r="B12" s="228"/>
      <c r="C12" s="228"/>
      <c r="D12" s="228"/>
      <c r="E12" s="228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13° MEDIÇÃO</vt:lpstr>
      <vt:lpstr>FATURAMENTO</vt:lpstr>
      <vt:lpstr>'13° MEDIÇÃO'!Area_de_impressao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Lucas Vaz de Lima</cp:lastModifiedBy>
  <cp:revision>4</cp:revision>
  <cp:lastPrinted>2021-11-25T11:59:16Z</cp:lastPrinted>
  <dcterms:created xsi:type="dcterms:W3CDTF">1997-11-03T10:30:38Z</dcterms:created>
  <dcterms:modified xsi:type="dcterms:W3CDTF">2022-01-21T14:03:10Z</dcterms:modified>
</cp:coreProperties>
</file>