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jpeg" ContentType="image/jpeg"/>
  <Override PartName="/xl/media/image4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ONOGRAMA" sheetId="1" state="visible" r:id="rId2"/>
  </sheets>
  <definedNames>
    <definedName function="false" hidden="false" localSheetId="0" name="_xlnm.Print_Area" vbProcedure="false">CRONOGRAMA!$A$1:$AC$53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<sst xmlns="http://schemas.openxmlformats.org/spreadsheetml/2006/main" count="74" uniqueCount="73">
  <si>
    <t xml:space="preserve">Secretaria da Fazenda - UEP</t>
  </si>
  <si>
    <t xml:space="preserve">CRONOGRAMA FÍSICO FINANCEIRO</t>
  </si>
  <si>
    <t xml:space="preserve">OBRA: TRECHO I -  Implantação de via Marginal do Córrego Itanguá - da Av. Dr. Américo Figueiredo até a Av. Adão de Pereira camargo (Prolongamento da Av. General Osório) + OAE (Construção de ponte sobre o Córrego Itanguá, na Av. Dr. Américo Figueiredo)</t>
  </si>
  <si>
    <t xml:space="preserve">PROPONENTE: JOFEGE PAVIMENTAÇÃO E CONSTRUÇÃO LTDA.</t>
  </si>
  <si>
    <t xml:space="preserve">US 19.013 Itanguá</t>
  </si>
  <si>
    <t xml:space="preserve">ITEM</t>
  </si>
  <si>
    <t xml:space="preserve">DESCRIÇÃO</t>
  </si>
  <si>
    <t xml:space="preserve">MÊS 1</t>
  </si>
  <si>
    <t xml:space="preserve">MÊS 2</t>
  </si>
  <si>
    <t xml:space="preserve">MÊS 3</t>
  </si>
  <si>
    <t xml:space="preserve">MÊS 4</t>
  </si>
  <si>
    <t xml:space="preserve">MÊS 5</t>
  </si>
  <si>
    <t xml:space="preserve">MÊS 6</t>
  </si>
  <si>
    <t xml:space="preserve">MÊS 7</t>
  </si>
  <si>
    <t xml:space="preserve">MÊS 8</t>
  </si>
  <si>
    <t xml:space="preserve">MÊS 9</t>
  </si>
  <si>
    <t xml:space="preserve">MÊS 10</t>
  </si>
  <si>
    <t xml:space="preserve">MÊS 11</t>
  </si>
  <si>
    <t xml:space="preserve">MÊS 12</t>
  </si>
  <si>
    <t xml:space="preserve">MÊS 13</t>
  </si>
  <si>
    <t xml:space="preserve">MÊS 14</t>
  </si>
  <si>
    <t xml:space="preserve">MÊS 15</t>
  </si>
  <si>
    <t xml:space="preserve">MÊS 16</t>
  </si>
  <si>
    <t xml:space="preserve">MÊS 17</t>
  </si>
  <si>
    <t xml:space="preserve">MÊS 18</t>
  </si>
  <si>
    <t xml:space="preserve">MÊS 19</t>
  </si>
  <si>
    <t xml:space="preserve">MÊS 20</t>
  </si>
  <si>
    <t xml:space="preserve">MÊS 21</t>
  </si>
  <si>
    <t xml:space="preserve">MÊS 22</t>
  </si>
  <si>
    <t xml:space="preserve">MÊS 23</t>
  </si>
  <si>
    <t xml:space="preserve">MÊS 24</t>
  </si>
  <si>
    <t xml:space="preserve">TOTAL S/ BDI</t>
  </si>
  <si>
    <t xml:space="preserve">BDI</t>
  </si>
  <si>
    <t xml:space="preserve">TOTAL C/ BDI</t>
  </si>
  <si>
    <t xml:space="preserve">1.1</t>
  </si>
  <si>
    <t xml:space="preserve">PROJETOS</t>
  </si>
  <si>
    <t xml:space="preserve">1.2</t>
  </si>
  <si>
    <t xml:space="preserve">INSTALAÇÕES PRELIMINARES</t>
  </si>
  <si>
    <t xml:space="preserve">1.3</t>
  </si>
  <si>
    <t xml:space="preserve">TERRAPLENAGEM</t>
  </si>
  <si>
    <t xml:space="preserve">1.4</t>
  </si>
  <si>
    <t xml:space="preserve">PAVIMENTAÇÃO </t>
  </si>
  <si>
    <t xml:space="preserve">1.5</t>
  </si>
  <si>
    <t xml:space="preserve">DRENAGEM</t>
  </si>
  <si>
    <t xml:space="preserve">1.6</t>
  </si>
  <si>
    <t xml:space="preserve">TRAVESSIAS - CÓRREGO ITANGUÁ</t>
  </si>
  <si>
    <t xml:space="preserve">1.7</t>
  </si>
  <si>
    <t xml:space="preserve">CONTENÇÃO DE MARGENS - GABIÕES</t>
  </si>
  <si>
    <t xml:space="preserve">1.8</t>
  </si>
  <si>
    <t xml:space="preserve">SINALIZAÇÃO</t>
  </si>
  <si>
    <t xml:space="preserve">1.9</t>
  </si>
  <si>
    <t xml:space="preserve">ILUMINAÇÃO PÚBLICA</t>
  </si>
  <si>
    <t xml:space="preserve">1.10</t>
  </si>
  <si>
    <t xml:space="preserve">PAISAGISMO</t>
  </si>
  <si>
    <t xml:space="preserve">2</t>
  </si>
  <si>
    <t xml:space="preserve">OAE SOBRE O CÓRREGO ITANGUÁ, na Av. Dr. Américo Figueiredo</t>
  </si>
  <si>
    <t xml:space="preserve">1.6. ADT</t>
  </si>
  <si>
    <t xml:space="preserve">ADITIVO - TRAVESSIA DE FAUNA - CÓRREGO ITANGUÁ</t>
  </si>
  <si>
    <t xml:space="preserve">1.7. ADT</t>
  </si>
  <si>
    <t xml:space="preserve">ADITIVO - CONTENÇÃO DE MARGENS - GABIÕES</t>
  </si>
  <si>
    <t xml:space="preserve">1.3. ADT</t>
  </si>
  <si>
    <t xml:space="preserve">ADITIVO - TERRAPLANAGEM (SERVIÇOS DE DEMOLIÇÃO E RECONSTRUÇÃO PARCIAL DE DIVISA DE PROPRIEDADES NA AV. AMÉRICO FIGUEIREDO)</t>
  </si>
  <si>
    <t xml:space="preserve">1.1. ADT</t>
  </si>
  <si>
    <t xml:space="preserve">ADITIVO - PROJETOS</t>
  </si>
  <si>
    <t xml:space="preserve">TOTAL MENSAL (S/ BDI)</t>
  </si>
  <si>
    <t xml:space="preserve">TOTAL MENSAL (C/ BDI)</t>
  </si>
  <si>
    <t xml:space="preserve">1° REAJUSTE</t>
  </si>
  <si>
    <t xml:space="preserve">TOTAL MENSAL (C/ 1° REAJ.)</t>
  </si>
  <si>
    <t xml:space="preserve">2° REAJUSTE</t>
  </si>
  <si>
    <t xml:space="preserve">TOTAL MENSAL (C/ 2° REAJ.)</t>
  </si>
  <si>
    <t xml:space="preserve">REAJUSTE RETROATIVO</t>
  </si>
  <si>
    <t xml:space="preserve">3° REAJUSTE</t>
  </si>
  <si>
    <t xml:space="preserve">TOTAL MENSAL (C/ 3° REAJ.)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</si>
</sst>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&quot;R$ &quot;* #,##0.00_-;&quot;-R$ &quot;* #,##0.00_-;_-&quot;R$ &quot;* \-??_-;_-@_-"/>
    <numFmt numFmtId="166" formatCode="_-* #,##0.00_-;\-* #,##0.00_-;_-* \-??_-;_-@_-"/>
    <numFmt numFmtId="167" formatCode="d/m/yyyy"/>
    <numFmt numFmtId="168" formatCode="mmm/yy"/>
    <numFmt numFmtId="169" formatCode="0.0000%"/>
    <numFmt numFmtId="170" formatCode="0.00%"/>
    <numFmt numFmtId="171" formatCode="&quot;R$ &quot;#,##0.00"/>
    <numFmt numFmtId="172" formatCode="0.000%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000000"/>
      <name val="Calibri"/>
      <family val="2"/>
      <charset val="1"/>
    </font>
    <font>
      <b val="true"/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4"/>
      <name val="Calibri"/>
      <family val="2"/>
      <charset val="1"/>
    </font>
    <font>
      <b val="true"/>
      <i val="true"/>
      <sz val="14"/>
      <color rgb="FF000000"/>
      <name val="Calibri"/>
      <family val="2"/>
      <charset val="1"/>
    </font>
    <font>
      <sz val="12"/>
      <color rgb="FFFFFFFF"/>
      <name val="Calibri"/>
      <family val="2"/>
      <charset val="1"/>
    </font>
    <font>
      <sz val="12"/>
      <name val="Arial"/>
      <family val="2"/>
      <charset val="1"/>
    </font>
    <font>
      <sz val="22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color rgb="FFFFFF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DBDBDB"/>
      </patternFill>
    </fill>
    <fill>
      <patternFill patternType="solid">
        <fgColor rgb="FFDBDBDB"/>
        <bgColor rgb="FFD9D9D9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dashed"/>
      <right style="dashed"/>
      <top style="dashed"/>
      <bottom style="dash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8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3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8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3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2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3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jpeg"/><Relationship Id="rId2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1143360</xdr:colOff>
      <xdr:row>1</xdr:row>
      <xdr:rowOff>129600</xdr:rowOff>
    </xdr:from>
    <xdr:to>
      <xdr:col>8</xdr:col>
      <xdr:colOff>83880</xdr:colOff>
      <xdr:row>6</xdr:row>
      <xdr:rowOff>65520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7260840" y="320040"/>
          <a:ext cx="5230800" cy="88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380880</xdr:colOff>
      <xdr:row>1</xdr:row>
      <xdr:rowOff>55080</xdr:rowOff>
    </xdr:from>
    <xdr:to>
      <xdr:col>1</xdr:col>
      <xdr:colOff>723600</xdr:colOff>
      <xdr:row>6</xdr:row>
      <xdr:rowOff>114840</xdr:rowOff>
    </xdr:to>
    <xdr:pic>
      <xdr:nvPicPr>
        <xdr:cNvPr id="1" name="Imagem 2" descr=""/>
        <xdr:cNvPicPr/>
      </xdr:nvPicPr>
      <xdr:blipFill>
        <a:blip r:embed="rId2"/>
        <a:stretch/>
      </xdr:blipFill>
      <xdr:spPr>
        <a:xfrm>
          <a:off x="380880" y="245520"/>
          <a:ext cx="1179360" cy="10123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BK6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40" zoomScalePageLayoutView="100" workbookViewId="0">
      <pane xSplit="2" ySplit="11" topLeftCell="T36" activePane="bottomRight" state="frozen"/>
      <selection pane="topLeft" activeCell="A1" activeCellId="0" sqref="A1"/>
      <selection pane="topRight" activeCell="T1" activeCellId="0" sqref="T1"/>
      <selection pane="bottomLeft" activeCell="A36" activeCellId="0" sqref="A36"/>
      <selection pane="bottomRight" activeCell="AC42" activeCellId="0" sqref="AC42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1.86"/>
    <col collapsed="false" customWidth="true" hidden="false" outlineLevel="0" max="2" min="2" style="0" width="37.42"/>
    <col collapsed="false" customWidth="true" hidden="false" outlineLevel="0" max="4" min="3" style="0" width="18.71"/>
    <col collapsed="false" customWidth="true" hidden="false" outlineLevel="0" max="5" min="5" style="0" width="19.57"/>
    <col collapsed="false" customWidth="true" hidden="false" outlineLevel="0" max="6" min="6" style="0" width="23.71"/>
    <col collapsed="false" customWidth="true" hidden="false" outlineLevel="0" max="7" min="7" style="0" width="22.01"/>
    <col collapsed="false" customWidth="true" hidden="false" outlineLevel="0" max="8" min="8" style="0" width="23.86"/>
    <col collapsed="false" customWidth="true" hidden="false" outlineLevel="0" max="9" min="9" style="0" width="29.42"/>
    <col collapsed="false" customWidth="true" hidden="false" outlineLevel="0" max="11" min="10" style="0" width="22.01"/>
    <col collapsed="false" customWidth="true" hidden="false" outlineLevel="0" max="12" min="12" style="0" width="23.15"/>
    <col collapsed="false" customWidth="true" hidden="false" outlineLevel="0" max="14" min="13" style="0" width="23.42"/>
    <col collapsed="false" customWidth="true" hidden="false" outlineLevel="0" max="15" min="15" style="0" width="20.86"/>
    <col collapsed="false" customWidth="true" hidden="false" outlineLevel="0" max="16" min="16" style="0" width="20.99"/>
    <col collapsed="false" customWidth="true" hidden="false" outlineLevel="0" max="17" min="17" style="0" width="21.14"/>
    <col collapsed="false" customWidth="true" hidden="false" outlineLevel="0" max="19" min="18" style="0" width="23.42"/>
    <col collapsed="false" customWidth="true" hidden="false" outlineLevel="0" max="20" min="20" style="0" width="24.71"/>
    <col collapsed="false" customWidth="true" hidden="false" outlineLevel="0" max="21" min="21" style="0" width="23.42"/>
    <col collapsed="false" customWidth="true" hidden="false" outlineLevel="0" max="26" min="22" style="0" width="22.01"/>
    <col collapsed="false" customWidth="true" hidden="false" outlineLevel="0" max="27" min="27" style="0" width="25"/>
    <col collapsed="false" customWidth="true" hidden="false" outlineLevel="0" max="28" min="28" style="0" width="9.71"/>
    <col collapsed="false" customWidth="true" hidden="false" outlineLevel="0" max="29" min="29" style="0" width="31.86"/>
    <col collapsed="false" customWidth="true" hidden="false" outlineLevel="0" max="30" min="30" style="0" width="2.29"/>
    <col collapsed="false" customWidth="true" hidden="false" outlineLevel="0" max="31" min="31" style="0" width="20.14"/>
    <col collapsed="false" customWidth="true" hidden="false" outlineLevel="0" max="32" min="32" style="0" width="18.14"/>
    <col collapsed="false" customWidth="true" hidden="false" outlineLevel="0" max="33" min="33" style="1" width="19.42"/>
    <col collapsed="false" customWidth="true" hidden="false" outlineLevel="0" max="34" min="34" style="0" width="18.71"/>
    <col collapsed="false" customWidth="true" hidden="false" outlineLevel="0" max="57" min="57" style="0" width="16.42"/>
  </cols>
  <sheetData>
    <row r="2" customFormat="false" ht="1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3" t="s">
        <v>0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customFormat="false" ht="15" hidden="false" customHeight="false" outlineLevel="0" collapsed="false">
      <c r="A7" s="2"/>
      <c r="B7" s="2"/>
      <c r="C7" s="2"/>
      <c r="D7" s="2"/>
      <c r="E7" s="2"/>
      <c r="F7" s="2"/>
      <c r="G7" s="2"/>
      <c r="H7" s="2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customFormat="false" ht="33.75" hidden="false" customHeight="false" outlineLevel="0" collapsed="false">
      <c r="A8" s="4" t="s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</row>
    <row r="9" customFormat="false" ht="71.25" hidden="false" customHeight="true" outlineLevel="0" collapsed="false">
      <c r="A9" s="7" t="s">
        <v>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8"/>
      <c r="Q9" s="8"/>
      <c r="R9" s="8"/>
      <c r="S9" s="8"/>
      <c r="T9" s="8"/>
      <c r="U9" s="8"/>
      <c r="V9" s="8"/>
      <c r="W9" s="8"/>
      <c r="X9" s="8"/>
      <c r="Y9" s="9"/>
      <c r="Z9" s="8"/>
      <c r="AA9" s="10" t="n">
        <v>44685</v>
      </c>
      <c r="AB9" s="10"/>
      <c r="AC9" s="10"/>
    </row>
    <row r="10" customFormat="false" ht="51.75" hidden="false" customHeight="true" outlineLevel="0" collapsed="false">
      <c r="A10" s="11" t="s">
        <v>3</v>
      </c>
      <c r="B10" s="11"/>
      <c r="C10" s="11"/>
      <c r="D10" s="11"/>
      <c r="E10" s="11"/>
      <c r="F10" s="11"/>
      <c r="G10" s="11"/>
      <c r="H10" s="12" t="n">
        <v>44317</v>
      </c>
      <c r="I10" s="12" t="n">
        <v>44348</v>
      </c>
      <c r="J10" s="12" t="n">
        <v>44378</v>
      </c>
      <c r="K10" s="12" t="n">
        <v>44409</v>
      </c>
      <c r="L10" s="12" t="n">
        <v>44440</v>
      </c>
      <c r="M10" s="12" t="n">
        <v>44470</v>
      </c>
      <c r="N10" s="12" t="n">
        <v>44501</v>
      </c>
      <c r="O10" s="13" t="n">
        <v>44531</v>
      </c>
      <c r="P10" s="14" t="n">
        <v>44562</v>
      </c>
      <c r="Q10" s="13" t="n">
        <v>44593</v>
      </c>
      <c r="R10" s="14" t="n">
        <v>44621</v>
      </c>
      <c r="S10" s="13" t="n">
        <v>44652</v>
      </c>
      <c r="T10" s="13" t="n">
        <v>44682</v>
      </c>
      <c r="U10" s="13" t="n">
        <v>44713</v>
      </c>
      <c r="V10" s="13" t="n">
        <v>44743</v>
      </c>
      <c r="W10" s="13" t="n">
        <v>44774</v>
      </c>
      <c r="X10" s="13" t="n">
        <v>44805</v>
      </c>
      <c r="Y10" s="13" t="n">
        <v>44835</v>
      </c>
      <c r="Z10" s="13" t="n">
        <v>44866</v>
      </c>
      <c r="AA10" s="15" t="s">
        <v>4</v>
      </c>
      <c r="AB10" s="15"/>
      <c r="AC10" s="15"/>
      <c r="AF10" s="16"/>
    </row>
    <row r="11" customFormat="false" ht="35.25" hidden="false" customHeight="true" outlineLevel="0" collapsed="false">
      <c r="A11" s="17" t="s">
        <v>5</v>
      </c>
      <c r="B11" s="17" t="s">
        <v>6</v>
      </c>
      <c r="C11" s="17" t="s">
        <v>7</v>
      </c>
      <c r="D11" s="17" t="s">
        <v>8</v>
      </c>
      <c r="E11" s="17" t="s">
        <v>9</v>
      </c>
      <c r="F11" s="17" t="s">
        <v>10</v>
      </c>
      <c r="G11" s="18" t="s">
        <v>11</v>
      </c>
      <c r="H11" s="18" t="s">
        <v>12</v>
      </c>
      <c r="I11" s="18" t="s">
        <v>13</v>
      </c>
      <c r="J11" s="18" t="s">
        <v>14</v>
      </c>
      <c r="K11" s="18" t="s">
        <v>15</v>
      </c>
      <c r="L11" s="18" t="s">
        <v>16</v>
      </c>
      <c r="M11" s="19" t="s">
        <v>17</v>
      </c>
      <c r="N11" s="19" t="s">
        <v>18</v>
      </c>
      <c r="O11" s="19" t="s">
        <v>19</v>
      </c>
      <c r="P11" s="19" t="s">
        <v>20</v>
      </c>
      <c r="Q11" s="19" t="s">
        <v>21</v>
      </c>
      <c r="R11" s="19" t="s">
        <v>22</v>
      </c>
      <c r="S11" s="20" t="s">
        <v>23</v>
      </c>
      <c r="T11" s="18" t="s">
        <v>24</v>
      </c>
      <c r="U11" s="18" t="s">
        <v>25</v>
      </c>
      <c r="V11" s="18" t="s">
        <v>26</v>
      </c>
      <c r="W11" s="18" t="s">
        <v>27</v>
      </c>
      <c r="X11" s="18" t="s">
        <v>28</v>
      </c>
      <c r="Y11" s="18" t="s">
        <v>29</v>
      </c>
      <c r="Z11" s="18" t="s">
        <v>30</v>
      </c>
      <c r="AA11" s="21" t="s">
        <v>31</v>
      </c>
      <c r="AB11" s="21" t="s">
        <v>32</v>
      </c>
      <c r="AC11" s="21" t="s">
        <v>33</v>
      </c>
      <c r="AF11" s="22"/>
    </row>
    <row r="12" customFormat="false" ht="18.75" hidden="false" customHeight="false" outlineLevel="0" collapsed="false">
      <c r="A12" s="23" t="s">
        <v>34</v>
      </c>
      <c r="B12" s="24" t="s">
        <v>35</v>
      </c>
      <c r="C12" s="25" t="n">
        <f aca="false">C13/$AA$12</f>
        <v>0</v>
      </c>
      <c r="D12" s="25" t="n">
        <f aca="false">D13/$AA$12</f>
        <v>0</v>
      </c>
      <c r="E12" s="25" t="n">
        <f aca="false">E13/$AA$12</f>
        <v>0.178370148033009</v>
      </c>
      <c r="F12" s="25" t="n">
        <f aca="false">F13/$AA$12</f>
        <v>0.152888698314008</v>
      </c>
      <c r="G12" s="25" t="n">
        <f aca="false">G13/$AA$12</f>
        <v>0</v>
      </c>
      <c r="H12" s="25" t="n">
        <f aca="false">H13/$AA$12</f>
        <v>0</v>
      </c>
      <c r="I12" s="25" t="n">
        <f aca="false">I13/$AA$12</f>
        <v>0</v>
      </c>
      <c r="J12" s="25" t="n">
        <f aca="false">J13/$AA$12</f>
        <v>0</v>
      </c>
      <c r="K12" s="25" t="n">
        <f aca="false">K13/$AA$12</f>
        <v>0</v>
      </c>
      <c r="L12" s="25" t="n">
        <f aca="false">L13/$AA$12</f>
        <v>0</v>
      </c>
      <c r="M12" s="25" t="n">
        <f aca="false">M13/$AA$12</f>
        <v>0</v>
      </c>
      <c r="N12" s="26" t="n">
        <f aca="false">N13/$AA$12</f>
        <v>0.16939317781629</v>
      </c>
      <c r="O12" s="26" t="n">
        <f aca="false">O13/$AA$12</f>
        <v>0</v>
      </c>
      <c r="P12" s="26" t="n">
        <f aca="false">P13/$AA$12</f>
        <v>0.0509628994380026</v>
      </c>
      <c r="Q12" s="26" t="n">
        <f aca="false">Q13/$AA$12</f>
        <v>0</v>
      </c>
      <c r="R12" s="26" t="n">
        <v>0</v>
      </c>
      <c r="S12" s="26" t="n">
        <f aca="false">S13/$AA$12</f>
        <v>0</v>
      </c>
      <c r="T12" s="25" t="n">
        <f aca="false">T13/$AA$12</f>
        <v>0</v>
      </c>
      <c r="U12" s="25" t="n">
        <f aca="false">U13/$AA$12</f>
        <v>0.040931811910533</v>
      </c>
      <c r="V12" s="25" t="n">
        <f aca="false">V13/$AA$12</f>
        <v>0.0944454370219499</v>
      </c>
      <c r="W12" s="25" t="n">
        <f aca="false">W13/$AA$12</f>
        <v>0.103258830465777</v>
      </c>
      <c r="X12" s="25" t="n">
        <f aca="false">X13/$AA$12</f>
        <v>0.127418762494069</v>
      </c>
      <c r="Y12" s="25" t="n">
        <f aca="false">Y13/$AA$12</f>
        <v>0.0823302345063614</v>
      </c>
      <c r="Z12" s="25" t="n">
        <f aca="false">Z13/$AA$12</f>
        <v>0</v>
      </c>
      <c r="AA12" s="27" t="n">
        <f aca="false">AE12/1.35</f>
        <v>100747.8</v>
      </c>
      <c r="AB12" s="28" t="n">
        <v>0.35</v>
      </c>
      <c r="AC12" s="27" t="n">
        <f aca="false">AA12*AB12+AA12</f>
        <v>136009.53</v>
      </c>
      <c r="AE12" s="29" t="n">
        <v>136009.53</v>
      </c>
      <c r="AF12" s="16" t="n">
        <f aca="false">SUM(C12:Z12)</f>
        <v>1</v>
      </c>
      <c r="AH12" s="30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</row>
    <row r="13" customFormat="false" ht="30" hidden="false" customHeight="true" outlineLevel="0" collapsed="false">
      <c r="A13" s="23"/>
      <c r="B13" s="24"/>
      <c r="C13" s="31" t="n">
        <v>0</v>
      </c>
      <c r="D13" s="31" t="n">
        <v>0</v>
      </c>
      <c r="E13" s="31" t="n">
        <v>17970.4</v>
      </c>
      <c r="F13" s="31" t="n">
        <v>15403.2</v>
      </c>
      <c r="G13" s="31" t="n">
        <v>0</v>
      </c>
      <c r="H13" s="31" t="n">
        <v>0</v>
      </c>
      <c r="I13" s="32" t="n">
        <v>0</v>
      </c>
      <c r="J13" s="31" t="n">
        <v>0</v>
      </c>
      <c r="K13" s="32" t="n">
        <v>0</v>
      </c>
      <c r="L13" s="31" t="n">
        <v>0</v>
      </c>
      <c r="M13" s="32" t="n">
        <v>0</v>
      </c>
      <c r="N13" s="32" t="n">
        <v>17065.99</v>
      </c>
      <c r="O13" s="32" t="n">
        <v>0</v>
      </c>
      <c r="P13" s="32" t="n">
        <v>5134.4</v>
      </c>
      <c r="Q13" s="32" t="n">
        <v>0</v>
      </c>
      <c r="R13" s="32" t="n">
        <v>0</v>
      </c>
      <c r="S13" s="33" t="n">
        <v>0</v>
      </c>
      <c r="T13" s="31" t="n">
        <v>0</v>
      </c>
      <c r="U13" s="31" t="n">
        <v>4123.79</v>
      </c>
      <c r="V13" s="31" t="n">
        <v>9515.17</v>
      </c>
      <c r="W13" s="31" t="n">
        <v>10403.1</v>
      </c>
      <c r="X13" s="31" t="n">
        <f aca="false">12837.6-0.44</f>
        <v>12837.16</v>
      </c>
      <c r="Y13" s="31" t="n">
        <v>8294.59</v>
      </c>
      <c r="Z13" s="31" t="n">
        <v>0</v>
      </c>
      <c r="AA13" s="27"/>
      <c r="AB13" s="28"/>
      <c r="AC13" s="27"/>
      <c r="AE13" s="29"/>
      <c r="AF13" s="30" t="n">
        <f aca="false">SUM(C13:Z13)</f>
        <v>100747.8</v>
      </c>
      <c r="AG13" s="1" t="n">
        <f aca="false">AA12-AF13</f>
        <v>0</v>
      </c>
      <c r="AH13" s="22"/>
    </row>
    <row r="14" customFormat="false" ht="18.75" hidden="false" customHeight="false" outlineLevel="0" collapsed="false">
      <c r="A14" s="23" t="s">
        <v>36</v>
      </c>
      <c r="B14" s="24" t="s">
        <v>37</v>
      </c>
      <c r="C14" s="25" t="n">
        <f aca="false">C15/$AA$14</f>
        <v>0.0372936306086057</v>
      </c>
      <c r="D14" s="25" t="n">
        <f aca="false">D15/$AA$14</f>
        <v>0.0318119478647263</v>
      </c>
      <c r="E14" s="25" t="n">
        <f aca="false">E15/$AA$14</f>
        <v>0.0607514105252961</v>
      </c>
      <c r="F14" s="25" t="n">
        <f aca="false">F15/$AA$14</f>
        <v>0.52580165159057</v>
      </c>
      <c r="G14" s="25" t="n">
        <f aca="false">G15/$AA$14</f>
        <v>0.0603052242579059</v>
      </c>
      <c r="H14" s="25" t="n">
        <f aca="false">H15/$AA$14</f>
        <v>0.0143624260207822</v>
      </c>
      <c r="I14" s="25" t="n">
        <f aca="false">I15/$AA$14</f>
        <v>0.0143624260207822</v>
      </c>
      <c r="J14" s="25" t="n">
        <f aca="false">J15/$AA$14</f>
        <v>0.0143624260207822</v>
      </c>
      <c r="K14" s="25" t="n">
        <f aca="false">K15/$AA$14</f>
        <v>0.0143624260207822</v>
      </c>
      <c r="L14" s="25" t="n">
        <f aca="false">L15/$AA$14</f>
        <v>0.0143624260207822</v>
      </c>
      <c r="M14" s="25" t="n">
        <f aca="false">M15/$AA$14</f>
        <v>0.0143624260207822</v>
      </c>
      <c r="N14" s="26" t="n">
        <f aca="false">N15/$AA$14</f>
        <v>0.0143624260207822</v>
      </c>
      <c r="O14" s="26" t="n">
        <f aca="false">O15/$AA$14</f>
        <v>0.0143624260207822</v>
      </c>
      <c r="P14" s="26" t="n">
        <f aca="false">P15/$AA$14</f>
        <v>0.0143624260207822</v>
      </c>
      <c r="Q14" s="26" t="n">
        <f aca="false">Q15/$AA$14</f>
        <v>0.0143624260207822</v>
      </c>
      <c r="R14" s="26" t="n">
        <v>0.0143624260207822</v>
      </c>
      <c r="S14" s="26" t="n">
        <f aca="false">S15/$AA$14</f>
        <v>0.0143624260207822</v>
      </c>
      <c r="T14" s="25" t="n">
        <f aca="false">T15/$AA$14</f>
        <v>0.0143624260207822</v>
      </c>
      <c r="U14" s="25" t="n">
        <f aca="false">U15/$AA$14</f>
        <v>0.0143624260207822</v>
      </c>
      <c r="V14" s="25" t="n">
        <f aca="false">V15/$AA$14</f>
        <v>0.0143624260207822</v>
      </c>
      <c r="W14" s="25" t="n">
        <f aca="false">W15/$AA$14</f>
        <v>0.0143624260207822</v>
      </c>
      <c r="X14" s="25" t="n">
        <f aca="false">X15/$AA$14</f>
        <v>0.0143624260207822</v>
      </c>
      <c r="Y14" s="25" t="n">
        <f aca="false">Y15/$AA$14</f>
        <v>0.0143624260207822</v>
      </c>
      <c r="Z14" s="25" t="n">
        <f aca="false">Z15/$AA$14</f>
        <v>0.0255124667788157</v>
      </c>
      <c r="AA14" s="27" t="n">
        <f aca="false">AE14/1.35</f>
        <v>166813.74</v>
      </c>
      <c r="AB14" s="28" t="n">
        <v>0.35</v>
      </c>
      <c r="AC14" s="27" t="n">
        <f aca="false">AA14*AB14+AA14</f>
        <v>225198.549</v>
      </c>
      <c r="AE14" s="29" t="n">
        <v>225198.549</v>
      </c>
      <c r="AF14" s="16" t="n">
        <f aca="false">SUM(C14:Z14)</f>
        <v>1</v>
      </c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</row>
    <row r="15" customFormat="false" ht="30.75" hidden="false" customHeight="true" outlineLevel="0" collapsed="false">
      <c r="A15" s="23"/>
      <c r="B15" s="24"/>
      <c r="C15" s="31" t="n">
        <v>6221.09</v>
      </c>
      <c r="D15" s="31" t="n">
        <v>5306.67</v>
      </c>
      <c r="E15" s="31" t="n">
        <v>10134.17</v>
      </c>
      <c r="F15" s="31" t="n">
        <v>87710.94</v>
      </c>
      <c r="G15" s="31" t="n">
        <v>10059.74</v>
      </c>
      <c r="H15" s="34" t="n">
        <v>2395.85</v>
      </c>
      <c r="I15" s="35" t="n">
        <v>2395.85</v>
      </c>
      <c r="J15" s="34" t="n">
        <v>2395.85</v>
      </c>
      <c r="K15" s="35" t="n">
        <v>2395.85</v>
      </c>
      <c r="L15" s="34" t="n">
        <v>2395.85</v>
      </c>
      <c r="M15" s="35" t="n">
        <v>2395.85</v>
      </c>
      <c r="N15" s="35" t="n">
        <v>2395.85</v>
      </c>
      <c r="O15" s="35" t="n">
        <v>2395.85</v>
      </c>
      <c r="P15" s="35" t="n">
        <v>2395.85</v>
      </c>
      <c r="Q15" s="35" t="n">
        <v>2395.85</v>
      </c>
      <c r="R15" s="35" t="n">
        <v>2395.85</v>
      </c>
      <c r="S15" s="36" t="n">
        <v>2395.85</v>
      </c>
      <c r="T15" s="34" t="n">
        <v>2395.85</v>
      </c>
      <c r="U15" s="34" t="n">
        <v>2395.85</v>
      </c>
      <c r="V15" s="34" t="n">
        <v>2395.85</v>
      </c>
      <c r="W15" s="34" t="n">
        <v>2395.85</v>
      </c>
      <c r="X15" s="34" t="n">
        <v>2395.85</v>
      </c>
      <c r="Y15" s="34" t="n">
        <v>2395.85</v>
      </c>
      <c r="Z15" s="34" t="n">
        <v>4255.83</v>
      </c>
      <c r="AA15" s="27"/>
      <c r="AB15" s="28"/>
      <c r="AC15" s="27"/>
      <c r="AE15" s="29"/>
      <c r="AF15" s="30" t="n">
        <f aca="false">SUM(C15:Z15)</f>
        <v>166813.74</v>
      </c>
      <c r="AG15" s="1" t="n">
        <f aca="false">AA14-AF15</f>
        <v>0</v>
      </c>
    </row>
    <row r="16" customFormat="false" ht="18.75" hidden="false" customHeight="false" outlineLevel="0" collapsed="false">
      <c r="A16" s="23" t="s">
        <v>38</v>
      </c>
      <c r="B16" s="24" t="s">
        <v>39</v>
      </c>
      <c r="C16" s="25" t="n">
        <f aca="false">C17/$AA$16</f>
        <v>0.00135690980643497</v>
      </c>
      <c r="D16" s="25" t="n">
        <f aca="false">D17/$AA$16</f>
        <v>0.000286569751642108</v>
      </c>
      <c r="E16" s="25" t="n">
        <f aca="false">E17/$AA$16</f>
        <v>0.00730847576974088</v>
      </c>
      <c r="F16" s="25" t="n">
        <f aca="false">F17/$AA$16</f>
        <v>0.162993614966989</v>
      </c>
      <c r="G16" s="25" t="n">
        <f aca="false">G17/$AA$16</f>
        <v>0.0993922592504332</v>
      </c>
      <c r="H16" s="25" t="n">
        <f aca="false">H17/$AA$16</f>
        <v>0.109914946067603</v>
      </c>
      <c r="I16" s="25" t="n">
        <f aca="false">I17/$AA$16</f>
        <v>0.0545903954736342</v>
      </c>
      <c r="J16" s="25" t="n">
        <f aca="false">J17/$AA$16</f>
        <v>0.0653269324274548</v>
      </c>
      <c r="K16" s="25" t="n">
        <f aca="false">K17/$AA$16</f>
        <v>0.0897831608663178</v>
      </c>
      <c r="L16" s="25" t="n">
        <f aca="false">L17/$AA$16</f>
        <v>0.00545905214830285</v>
      </c>
      <c r="M16" s="25" t="n">
        <f aca="false">M17/$AA$16</f>
        <v>0.0237495555609519</v>
      </c>
      <c r="N16" s="26" t="n">
        <f aca="false">N17/$AA$16</f>
        <v>0.0123281778729942</v>
      </c>
      <c r="O16" s="26" t="n">
        <f aca="false">O17/$AA$16</f>
        <v>0.00109400949683275</v>
      </c>
      <c r="P16" s="26" t="n">
        <f aca="false">P17/$AA$16</f>
        <v>0.00940838167820998</v>
      </c>
      <c r="Q16" s="26" t="n">
        <f aca="false">Q17/$AA$16</f>
        <v>0.000473234377669184</v>
      </c>
      <c r="R16" s="26" t="n">
        <v>0.0423937104360423</v>
      </c>
      <c r="S16" s="26" t="n">
        <f aca="false">S17/$AA$16</f>
        <v>0.0448928710132461</v>
      </c>
      <c r="T16" s="25" t="n">
        <f aca="false">T17/$AA$16</f>
        <v>0.0531543070545434</v>
      </c>
      <c r="U16" s="25" t="n">
        <f aca="false">U17/$AA$16</f>
        <v>0.0524233915950891</v>
      </c>
      <c r="V16" s="25" t="n">
        <f aca="false">V17/$AA$16</f>
        <v>0.034412539611851</v>
      </c>
      <c r="W16" s="25" t="n">
        <f aca="false">W17/$AA$16</f>
        <v>0.0335281853582835</v>
      </c>
      <c r="X16" s="25" t="n">
        <f aca="false">X17/$AA$16</f>
        <v>0.0621224525571243</v>
      </c>
      <c r="Y16" s="25" t="n">
        <f aca="false">Y17/$AA$16</f>
        <v>0.0148257206521674</v>
      </c>
      <c r="Z16" s="25" t="n">
        <f aca="false">Z17/$AA$16</f>
        <v>0.0187811474108329</v>
      </c>
      <c r="AA16" s="27" t="n">
        <f aca="false">AE16/1.35</f>
        <v>2460134.03703704</v>
      </c>
      <c r="AB16" s="28" t="n">
        <v>0.35</v>
      </c>
      <c r="AC16" s="27" t="n">
        <f aca="false">AA16*AB16+AA16</f>
        <v>3321180.95</v>
      </c>
      <c r="AE16" s="29" t="n">
        <v>3321180.95</v>
      </c>
      <c r="AF16" s="16" t="n">
        <f aca="false">SUM(C16:Z16)</f>
        <v>1.00000000120439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</row>
    <row r="17" customFormat="false" ht="30" hidden="false" customHeight="true" outlineLevel="0" collapsed="false">
      <c r="A17" s="23"/>
      <c r="B17" s="24"/>
      <c r="C17" s="31" t="n">
        <v>3338.18</v>
      </c>
      <c r="D17" s="31" t="n">
        <v>705</v>
      </c>
      <c r="E17" s="31" t="n">
        <v>17979.83</v>
      </c>
      <c r="F17" s="31" t="n">
        <v>400986.14</v>
      </c>
      <c r="G17" s="31" t="n">
        <v>244518.28</v>
      </c>
      <c r="H17" s="31" t="n">
        <v>270405.5</v>
      </c>
      <c r="I17" s="32" t="n">
        <v>134299.69</v>
      </c>
      <c r="J17" s="31" t="n">
        <v>160713.01</v>
      </c>
      <c r="K17" s="32" t="n">
        <v>220878.61</v>
      </c>
      <c r="L17" s="31" t="n">
        <v>13430</v>
      </c>
      <c r="M17" s="32" t="n">
        <v>58427.09</v>
      </c>
      <c r="N17" s="37" t="n">
        <v>30328.97</v>
      </c>
      <c r="O17" s="32" t="n">
        <v>2691.41</v>
      </c>
      <c r="P17" s="32" t="n">
        <v>23145.88</v>
      </c>
      <c r="Q17" s="32" t="n">
        <v>1164.22</v>
      </c>
      <c r="R17" s="32" t="n">
        <v>104294.21</v>
      </c>
      <c r="S17" s="33" t="n">
        <v>110442.48</v>
      </c>
      <c r="T17" s="31" t="n">
        <f aca="false">489859.95-300000-59093.23</f>
        <v>130766.72</v>
      </c>
      <c r="U17" s="31" t="n">
        <f aca="false">152114.45-23145.88</f>
        <v>128968.57</v>
      </c>
      <c r="V17" s="31" t="n">
        <f aca="false">217000-12340.54-120000</f>
        <v>84659.46</v>
      </c>
      <c r="W17" s="31" t="n">
        <f aca="false">82483.83</f>
        <v>82483.83</v>
      </c>
      <c r="X17" s="31" t="n">
        <v>152829.56</v>
      </c>
      <c r="Y17" s="31" t="n">
        <f aca="false">22303.26+14170</f>
        <v>36473.26</v>
      </c>
      <c r="Z17" s="31" t="n">
        <f aca="false">14170+32034.14</f>
        <v>46204.14</v>
      </c>
      <c r="AA17" s="27"/>
      <c r="AB17" s="28"/>
      <c r="AC17" s="27"/>
      <c r="AE17" s="29"/>
      <c r="AF17" s="30" t="n">
        <f aca="false">SUM(C17:Z17)</f>
        <v>2460134.04</v>
      </c>
      <c r="AG17" s="1" t="n">
        <f aca="false">AA16-AF17</f>
        <v>-0.00296296318992972</v>
      </c>
      <c r="AH17" s="38"/>
    </row>
    <row r="18" customFormat="false" ht="18.75" hidden="false" customHeight="false" outlineLevel="0" collapsed="false">
      <c r="A18" s="23" t="s">
        <v>40</v>
      </c>
      <c r="B18" s="24" t="s">
        <v>41</v>
      </c>
      <c r="C18" s="25" t="n">
        <f aca="false">C19/$AA$18</f>
        <v>0</v>
      </c>
      <c r="D18" s="25" t="n">
        <f aca="false">D19/$AA$18</f>
        <v>0</v>
      </c>
      <c r="E18" s="25" t="n">
        <f aca="false">E19/$AA$18</f>
        <v>0.00523591463329228</v>
      </c>
      <c r="F18" s="25" t="n">
        <f aca="false">F19/$AA$18</f>
        <v>0.00737781653243264</v>
      </c>
      <c r="G18" s="25" t="n">
        <f aca="false">G19/$AA$18</f>
        <v>0.018406786901976</v>
      </c>
      <c r="H18" s="25" t="n">
        <f aca="false">H19/$AA$18</f>
        <v>-0.00706155860476161</v>
      </c>
      <c r="I18" s="25" t="n">
        <f aca="false">I19/$AA$18</f>
        <v>0.0217846871198335</v>
      </c>
      <c r="J18" s="25" t="n">
        <f aca="false">J19/$AA$18</f>
        <v>0.0232720434225415</v>
      </c>
      <c r="K18" s="25" t="n">
        <f aca="false">K19/$AA$18</f>
        <v>0.0569926409536631</v>
      </c>
      <c r="L18" s="25" t="n">
        <f aca="false">L19/$AA$18</f>
        <v>0.0452521508023986</v>
      </c>
      <c r="M18" s="25" t="n">
        <f aca="false">M19/$AA$18</f>
        <v>0.0423896452709567</v>
      </c>
      <c r="N18" s="26" t="n">
        <f aca="false">N19/$AA$18</f>
        <v>0.0318921643663464</v>
      </c>
      <c r="O18" s="26" t="n">
        <f aca="false">O19/$AA$18</f>
        <v>0.0232565994211429</v>
      </c>
      <c r="P18" s="26" t="n">
        <f aca="false">P19/$AA$18</f>
        <v>0.0134343184896335</v>
      </c>
      <c r="Q18" s="26" t="n">
        <f aca="false">Q19/$AA$18</f>
        <v>0.0399526835211862</v>
      </c>
      <c r="R18" s="26" t="n">
        <v>0.0204330968544609</v>
      </c>
      <c r="S18" s="26" t="n">
        <f aca="false">S19/$AA$18</f>
        <v>0.0180272414193006</v>
      </c>
      <c r="T18" s="25" t="n">
        <f aca="false">T19/$AA$18</f>
        <v>0.0295513154318227</v>
      </c>
      <c r="U18" s="25" t="n">
        <f aca="false">U19/$AA$18</f>
        <v>0.0665162754833291</v>
      </c>
      <c r="V18" s="25" t="n">
        <f aca="false">V19/$AA$18</f>
        <v>0.129380124683552</v>
      </c>
      <c r="W18" s="25" t="n">
        <f aca="false">W19/$AA$18</f>
        <v>0.130131114201481</v>
      </c>
      <c r="X18" s="25" t="n">
        <f aca="false">X19/$AA$18</f>
        <v>0.087404381976734</v>
      </c>
      <c r="Y18" s="25" t="n">
        <f aca="false">Y19/$AA$18</f>
        <v>0.0724962217251963</v>
      </c>
      <c r="Z18" s="25" t="n">
        <f aca="false">Z19/$AA$18</f>
        <v>0.123874335066207</v>
      </c>
      <c r="AA18" s="27" t="n">
        <f aca="false">AE18/1.35</f>
        <v>9619268.74814815</v>
      </c>
      <c r="AB18" s="28" t="n">
        <v>0.35</v>
      </c>
      <c r="AC18" s="27" t="n">
        <f aca="false">AA18*AB18+AA18</f>
        <v>12986012.81</v>
      </c>
      <c r="AE18" s="29" t="n">
        <v>12986012.81</v>
      </c>
      <c r="AF18" s="16" t="n">
        <f aca="false">SUM(C18:Z18)</f>
        <v>0.999999999672725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</row>
    <row r="19" customFormat="false" ht="30" hidden="false" customHeight="true" outlineLevel="0" collapsed="false">
      <c r="A19" s="23"/>
      <c r="B19" s="24"/>
      <c r="C19" s="31" t="n">
        <v>0</v>
      </c>
      <c r="D19" s="31" t="n">
        <v>0</v>
      </c>
      <c r="E19" s="31" t="n">
        <v>50365.67</v>
      </c>
      <c r="F19" s="31" t="n">
        <v>70969.2</v>
      </c>
      <c r="G19" s="31" t="n">
        <v>177059.83</v>
      </c>
      <c r="H19" s="31" t="n">
        <v>-67927.03</v>
      </c>
      <c r="I19" s="32" t="n">
        <v>209552.76</v>
      </c>
      <c r="J19" s="31" t="n">
        <v>223860.04</v>
      </c>
      <c r="K19" s="32" t="n">
        <v>548227.53</v>
      </c>
      <c r="L19" s="31" t="n">
        <v>435292.6</v>
      </c>
      <c r="M19" s="32" t="n">
        <v>407757.39</v>
      </c>
      <c r="N19" s="32" t="n">
        <v>306779.3</v>
      </c>
      <c r="O19" s="32" t="n">
        <v>223711.48</v>
      </c>
      <c r="P19" s="32" t="n">
        <v>129228.32</v>
      </c>
      <c r="Q19" s="32" t="n">
        <v>384315.6</v>
      </c>
      <c r="R19" s="37" t="n">
        <v>196551.45</v>
      </c>
      <c r="S19" s="33" t="n">
        <v>173408.88</v>
      </c>
      <c r="T19" s="31" t="n">
        <f aca="false">758107.975+400000-800000-73845.93</f>
        <v>284262.045</v>
      </c>
      <c r="U19" s="31" t="n">
        <f aca="false">543132.08+19042.16-51215.97+128879.66</f>
        <v>639837.93</v>
      </c>
      <c r="V19" s="31" t="n">
        <v>1244542.19</v>
      </c>
      <c r="W19" s="31" t="n">
        <f aca="false">1321706.72-146193.41+76252.85</f>
        <v>1251766.16</v>
      </c>
      <c r="X19" s="31" t="n">
        <v>840766.24</v>
      </c>
      <c r="Y19" s="31" t="n">
        <f aca="false">548878.43+13238.44+86279.58+29726.67+19237.52</f>
        <v>697360.64</v>
      </c>
      <c r="Z19" s="31" t="n">
        <f aca="false">374373.12+20276.15-1392.51-1676.24+800000</f>
        <v>1191580.52</v>
      </c>
      <c r="AA19" s="27"/>
      <c r="AB19" s="28"/>
      <c r="AC19" s="27"/>
      <c r="AE19" s="29"/>
      <c r="AF19" s="30" t="n">
        <f aca="false">SUM(C19:Z19)</f>
        <v>9619268.745</v>
      </c>
      <c r="AG19" s="1" t="n">
        <f aca="false">AA18-AF19</f>
        <v>0.0031481459736824</v>
      </c>
    </row>
    <row r="20" customFormat="false" ht="18.75" hidden="false" customHeight="true" outlineLevel="0" collapsed="false">
      <c r="A20" s="23" t="s">
        <v>42</v>
      </c>
      <c r="B20" s="39" t="s">
        <v>43</v>
      </c>
      <c r="C20" s="25" t="n">
        <f aca="false">C21/$AA$20</f>
        <v>0</v>
      </c>
      <c r="D20" s="25" t="n">
        <f aca="false">D21/$AA$20</f>
        <v>0</v>
      </c>
      <c r="E20" s="25" t="n">
        <f aca="false">E21/$AA$20</f>
        <v>0</v>
      </c>
      <c r="F20" s="25" t="n">
        <f aca="false">F21/$AA$20</f>
        <v>0</v>
      </c>
      <c r="G20" s="25" t="n">
        <f aca="false">G21/$AA$20</f>
        <v>0</v>
      </c>
      <c r="H20" s="25" t="n">
        <f aca="false">H21/$AA$20</f>
        <v>0.0183278099284646</v>
      </c>
      <c r="I20" s="25" t="n">
        <f aca="false">I21/$AA$20</f>
        <v>0.0340724211761529</v>
      </c>
      <c r="J20" s="25" t="n">
        <f aca="false">J21/$AA$20</f>
        <v>0.0296182149681393</v>
      </c>
      <c r="K20" s="25" t="n">
        <f aca="false">K21/$AA$20</f>
        <v>0.0420431340511972</v>
      </c>
      <c r="L20" s="25" t="n">
        <f aca="false">L21/$AA$20</f>
        <v>0.0796489765625354</v>
      </c>
      <c r="M20" s="25" t="n">
        <f aca="false">M21/$AA$20</f>
        <v>0.00991451965648648</v>
      </c>
      <c r="N20" s="26" t="n">
        <f aca="false">N21/$AA$20</f>
        <v>0.0243867856582919</v>
      </c>
      <c r="O20" s="26" t="n">
        <f aca="false">O21/$AA$20</f>
        <v>0.023216903182316</v>
      </c>
      <c r="P20" s="26" t="n">
        <f aca="false">P21/$AA$20</f>
        <v>0.0105878588895116</v>
      </c>
      <c r="Q20" s="26" t="n">
        <f aca="false">Q21/$AA$20</f>
        <v>0</v>
      </c>
      <c r="R20" s="26" t="n">
        <v>0.040182130649802</v>
      </c>
      <c r="S20" s="26" t="n">
        <f aca="false">S21/$AA$20</f>
        <v>0.0118797198762679</v>
      </c>
      <c r="T20" s="25" t="n">
        <f aca="false">T21/$AA$20</f>
        <v>0.0571698391836676</v>
      </c>
      <c r="U20" s="25" t="n">
        <f aca="false">U21/$AA$20</f>
        <v>0.091362843423304</v>
      </c>
      <c r="V20" s="25" t="n">
        <f aca="false">V21/$AA$20</f>
        <v>0.273310522228974</v>
      </c>
      <c r="W20" s="25" t="n">
        <f aca="false">W21/$AA$20</f>
        <v>0.0879734661092823</v>
      </c>
      <c r="X20" s="25" t="n">
        <f aca="false">X21/$AA$20</f>
        <v>0.0600675675809198</v>
      </c>
      <c r="Y20" s="25" t="n">
        <f aca="false">Y21/$AA$20</f>
        <v>0.046581980294156</v>
      </c>
      <c r="Z20" s="25" t="n">
        <f aca="false">Z21/$AA$20</f>
        <v>0.059655305250448</v>
      </c>
      <c r="AA20" s="27" t="n">
        <f aca="false">AE20/1.35</f>
        <v>1949195.79259259</v>
      </c>
      <c r="AB20" s="28" t="n">
        <v>0.35</v>
      </c>
      <c r="AC20" s="27" t="n">
        <f aca="false">AA20*AB20+AA20</f>
        <v>2631414.32</v>
      </c>
      <c r="AE20" s="29" t="n">
        <v>2631414.32</v>
      </c>
      <c r="AF20" s="16" t="n">
        <f aca="false">SUM(C20:Z20)</f>
        <v>0.999999998669917</v>
      </c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</row>
    <row r="21" customFormat="false" ht="30" hidden="false" customHeight="true" outlineLevel="0" collapsed="false">
      <c r="A21" s="23"/>
      <c r="B21" s="39"/>
      <c r="C21" s="31" t="n">
        <v>0</v>
      </c>
      <c r="D21" s="31" t="n">
        <v>0</v>
      </c>
      <c r="E21" s="31" t="n">
        <v>0</v>
      </c>
      <c r="F21" s="31" t="n">
        <v>0</v>
      </c>
      <c r="G21" s="31" t="n">
        <v>0</v>
      </c>
      <c r="H21" s="31" t="n">
        <v>35724.49</v>
      </c>
      <c r="I21" s="32" t="n">
        <v>66413.82</v>
      </c>
      <c r="J21" s="31" t="n">
        <v>57731.7</v>
      </c>
      <c r="K21" s="32" t="n">
        <v>81950.3</v>
      </c>
      <c r="L21" s="31" t="n">
        <v>155251.45</v>
      </c>
      <c r="M21" s="32" t="n">
        <v>19325.34</v>
      </c>
      <c r="N21" s="37" t="n">
        <v>47534.62</v>
      </c>
      <c r="O21" s="32" t="n">
        <v>45254.29</v>
      </c>
      <c r="P21" s="32" t="n">
        <v>20637.81</v>
      </c>
      <c r="Q21" s="32" t="n">
        <v>0</v>
      </c>
      <c r="R21" s="32" t="n">
        <v>78322.84</v>
      </c>
      <c r="S21" s="33" t="n">
        <v>23155.9</v>
      </c>
      <c r="T21" s="31" t="n">
        <v>111435.21</v>
      </c>
      <c r="U21" s="31" t="n">
        <f aca="false">173409.33+4674.74</f>
        <v>178084.07</v>
      </c>
      <c r="V21" s="31" t="n">
        <f aca="false">135146.82+112220.9+285368</f>
        <v>532735.72</v>
      </c>
      <c r="W21" s="31" t="n">
        <f aca="false">111455.81+60021.7</f>
        <v>171477.51</v>
      </c>
      <c r="X21" s="31" t="n">
        <f aca="false">115757.82+1325.63</f>
        <v>117083.45</v>
      </c>
      <c r="Y21" s="31" t="n">
        <v>90797.4</v>
      </c>
      <c r="Z21" s="31" t="n">
        <v>116279.87</v>
      </c>
      <c r="AA21" s="27"/>
      <c r="AB21" s="28"/>
      <c r="AC21" s="27"/>
      <c r="AE21" s="29"/>
      <c r="AF21" s="30" t="n">
        <f aca="false">SUM(C21:Z21)</f>
        <v>1949195.79</v>
      </c>
      <c r="AG21" s="1" t="n">
        <f aca="false">AA20-AF21</f>
        <v>0.00259259226731956</v>
      </c>
    </row>
    <row r="22" customFormat="false" ht="18.75" hidden="false" customHeight="true" outlineLevel="0" collapsed="false">
      <c r="A22" s="23" t="s">
        <v>44</v>
      </c>
      <c r="B22" s="39" t="s">
        <v>45</v>
      </c>
      <c r="C22" s="25" t="n">
        <f aca="false">C23/$AA$22</f>
        <v>0</v>
      </c>
      <c r="D22" s="25" t="n">
        <f aca="false">D23/$AA$22</f>
        <v>0</v>
      </c>
      <c r="E22" s="25" t="n">
        <f aca="false">E23/$AA$22</f>
        <v>0</v>
      </c>
      <c r="F22" s="25" t="n">
        <f aca="false">F23/$AA$22</f>
        <v>0</v>
      </c>
      <c r="G22" s="25" t="n">
        <f aca="false">G23/$AA$22</f>
        <v>0.0712806264677855</v>
      </c>
      <c r="H22" s="25" t="n">
        <f aca="false">H23/$AA$22</f>
        <v>0.110795052594875</v>
      </c>
      <c r="I22" s="25" t="n">
        <f aca="false">I23/$AA$22</f>
        <v>0.261808811382874</v>
      </c>
      <c r="J22" s="25" t="n">
        <f aca="false">J23/$AA$22</f>
        <v>0.218307295379964</v>
      </c>
      <c r="K22" s="25" t="n">
        <f aca="false">K23/$AA$22</f>
        <v>0.00101031552993667</v>
      </c>
      <c r="L22" s="25" t="n">
        <f aca="false">L23/$AA$22</f>
        <v>0</v>
      </c>
      <c r="M22" s="25" t="n">
        <f aca="false">M23/$AA$22</f>
        <v>0.0291312400402162</v>
      </c>
      <c r="N22" s="26" t="n">
        <f aca="false">N23/$AA$22</f>
        <v>0</v>
      </c>
      <c r="O22" s="26" t="n">
        <f aca="false">O23/$AA$22</f>
        <v>0.0048586441253514</v>
      </c>
      <c r="P22" s="26" t="n">
        <f aca="false">P23/$AA$22</f>
        <v>0.000563882985610493</v>
      </c>
      <c r="Q22" s="26" t="n">
        <f aca="false">Q23/$AA$22</f>
        <v>0.0386866704230379</v>
      </c>
      <c r="R22" s="26" t="n">
        <v>0.0299839371506515</v>
      </c>
      <c r="S22" s="26" t="n">
        <f aca="false">S23/$AA$22</f>
        <v>0.0513830140518722</v>
      </c>
      <c r="T22" s="25" t="n">
        <f aca="false">T23/$AA$22</f>
        <v>0.104393726367654</v>
      </c>
      <c r="U22" s="25" t="n">
        <f aca="false">U23/$AA$22</f>
        <v>0.0423557471437148</v>
      </c>
      <c r="V22" s="25" t="n">
        <f aca="false">V23/$AA$22</f>
        <v>0.0354410341686581</v>
      </c>
      <c r="W22" s="25" t="n">
        <f aca="false">W23/$AA$22</f>
        <v>0</v>
      </c>
      <c r="X22" s="25" t="n">
        <f aca="false">X23/$AA$22</f>
        <v>0</v>
      </c>
      <c r="Y22" s="25" t="n">
        <f aca="false">Y23/$AA$22</f>
        <v>0</v>
      </c>
      <c r="Z22" s="25" t="n">
        <f aca="false">Z23/$AA$22</f>
        <v>0</v>
      </c>
      <c r="AA22" s="27" t="n">
        <f aca="false">AE22/1.35</f>
        <v>2200758.01481481</v>
      </c>
      <c r="AB22" s="28" t="n">
        <v>0.35</v>
      </c>
      <c r="AC22" s="27" t="n">
        <f aca="false">AA22*AB22+AA22</f>
        <v>2971023.32</v>
      </c>
      <c r="AE22" s="29" t="n">
        <v>2971023.32</v>
      </c>
      <c r="AF22" s="16" t="n">
        <f aca="false">SUM(C22:Z22)</f>
        <v>0.999999997812202</v>
      </c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</row>
    <row r="23" customFormat="false" ht="30" hidden="false" customHeight="true" outlineLevel="0" collapsed="false">
      <c r="A23" s="23"/>
      <c r="B23" s="39"/>
      <c r="C23" s="31" t="n">
        <v>0</v>
      </c>
      <c r="D23" s="31" t="n">
        <v>0</v>
      </c>
      <c r="E23" s="31" t="n">
        <v>0</v>
      </c>
      <c r="F23" s="31" t="n">
        <v>0</v>
      </c>
      <c r="G23" s="31" t="n">
        <v>156871.41</v>
      </c>
      <c r="H23" s="34" t="n">
        <v>243833.1</v>
      </c>
      <c r="I23" s="35" t="n">
        <v>576177.84</v>
      </c>
      <c r="J23" s="34" t="n">
        <v>480441.53</v>
      </c>
      <c r="K23" s="35" t="n">
        <v>2223.46</v>
      </c>
      <c r="L23" s="34" t="n">
        <v>0</v>
      </c>
      <c r="M23" s="32" t="n">
        <v>64110.81</v>
      </c>
      <c r="N23" s="32" t="n">
        <v>0</v>
      </c>
      <c r="O23" s="32" t="n">
        <v>10692.7</v>
      </c>
      <c r="P23" s="32" t="n">
        <v>1240.97</v>
      </c>
      <c r="Q23" s="32" t="n">
        <v>85140</v>
      </c>
      <c r="R23" s="32" t="n">
        <v>65987.39</v>
      </c>
      <c r="S23" s="33" t="n">
        <v>113081.58</v>
      </c>
      <c r="T23" s="40" t="n">
        <f aca="false">390929.81-64110.81-10692.7-1240.97-85140</f>
        <v>229745.33</v>
      </c>
      <c r="U23" s="31" t="n">
        <f aca="false">101555.68-8340.93</f>
        <v>93214.75</v>
      </c>
      <c r="V23" s="31" t="n">
        <f aca="false">77997.89-0.75</f>
        <v>77997.14</v>
      </c>
      <c r="W23" s="31" t="n">
        <v>0</v>
      </c>
      <c r="X23" s="31" t="n">
        <v>0</v>
      </c>
      <c r="Y23" s="31" t="n">
        <v>0</v>
      </c>
      <c r="Z23" s="31" t="n">
        <v>0</v>
      </c>
      <c r="AA23" s="27"/>
      <c r="AB23" s="28"/>
      <c r="AC23" s="27"/>
      <c r="AE23" s="29"/>
      <c r="AF23" s="30" t="n">
        <f aca="false">SUM(C23:Z23)</f>
        <v>2200758.01</v>
      </c>
      <c r="AG23" s="1" t="n">
        <f aca="false">AA22-AF23</f>
        <v>0.00481481431052089</v>
      </c>
    </row>
    <row r="24" customFormat="false" ht="18.75" hidden="false" customHeight="true" outlineLevel="0" collapsed="false">
      <c r="A24" s="23" t="s">
        <v>46</v>
      </c>
      <c r="B24" s="39" t="s">
        <v>47</v>
      </c>
      <c r="C24" s="25" t="n">
        <f aca="false">C25/$AA$24</f>
        <v>0</v>
      </c>
      <c r="D24" s="25" t="n">
        <f aca="false">D25/$AA$24</f>
        <v>0</v>
      </c>
      <c r="E24" s="25" t="n">
        <f aca="false">E25/$AA$24</f>
        <v>0.123902891253925</v>
      </c>
      <c r="F24" s="25" t="n">
        <f aca="false">F25/$AA$24</f>
        <v>0.0925451445124158</v>
      </c>
      <c r="G24" s="25" t="n">
        <f aca="false">G25/$AA$24</f>
        <v>0.110512618061447</v>
      </c>
      <c r="H24" s="25" t="n">
        <f aca="false">H25/$AA$24</f>
        <v>0.199905249897347</v>
      </c>
      <c r="I24" s="25" t="n">
        <f aca="false">I25/$AA$24</f>
        <v>0.06825305006228</v>
      </c>
      <c r="J24" s="25" t="n">
        <f aca="false">J25/$AA$24</f>
        <v>0.00262572040970527</v>
      </c>
      <c r="K24" s="25" t="n">
        <f aca="false">K25/$AA$24</f>
        <v>0</v>
      </c>
      <c r="L24" s="25" t="n">
        <f aca="false">L25/$AA$24</f>
        <v>0.00380469984459273</v>
      </c>
      <c r="M24" s="25" t="n">
        <f aca="false">M25/$AA$24</f>
        <v>0</v>
      </c>
      <c r="N24" s="26" t="n">
        <f aca="false">N25/$AA$24</f>
        <v>0.0284701019403034</v>
      </c>
      <c r="O24" s="26" t="n">
        <f aca="false">O25/$AA$24</f>
        <v>0</v>
      </c>
      <c r="P24" s="26" t="n">
        <f aca="false">P25/$AA$24</f>
        <v>0</v>
      </c>
      <c r="Q24" s="26" t="n">
        <f aca="false">Q25/$AA$24</f>
        <v>0</v>
      </c>
      <c r="R24" s="26" t="n">
        <v>0.240732121781681</v>
      </c>
      <c r="S24" s="26" t="n">
        <f aca="false">S25/$AA$24</f>
        <v>0.0453233859110611</v>
      </c>
      <c r="T24" s="25" t="n">
        <f aca="false">T25/$AA$24</f>
        <v>0.0839250172478188</v>
      </c>
      <c r="U24" s="25" t="n">
        <f aca="false">U25/$AA$24</f>
        <v>0</v>
      </c>
      <c r="V24" s="25" t="n">
        <f aca="false">V25/$AA$24</f>
        <v>0</v>
      </c>
      <c r="W24" s="25" t="n">
        <f aca="false">W25/$AA$24</f>
        <v>0</v>
      </c>
      <c r="X24" s="25" t="n">
        <f aca="false">X25/$AA$24</f>
        <v>0</v>
      </c>
      <c r="Y24" s="25" t="n">
        <f aca="false">Y25/$AA$24</f>
        <v>0</v>
      </c>
      <c r="Z24" s="25" t="n">
        <f aca="false">Z25/$AA$24</f>
        <v>0</v>
      </c>
      <c r="AA24" s="27" t="n">
        <f aca="false">AE24/1.35</f>
        <v>2408710.37777778</v>
      </c>
      <c r="AB24" s="28" t="n">
        <v>0.35</v>
      </c>
      <c r="AC24" s="27" t="n">
        <f aca="false">AA24*AB24+AA24</f>
        <v>3251759.01</v>
      </c>
      <c r="AE24" s="29" t="n">
        <v>3251759.01</v>
      </c>
      <c r="AF24" s="16" t="n">
        <f aca="false">SUM(C24:Z24)</f>
        <v>1.00000000092258</v>
      </c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</row>
    <row r="25" customFormat="false" ht="30" hidden="false" customHeight="true" outlineLevel="0" collapsed="false">
      <c r="A25" s="23"/>
      <c r="B25" s="39"/>
      <c r="C25" s="31" t="n">
        <v>0</v>
      </c>
      <c r="D25" s="31" t="n">
        <v>0</v>
      </c>
      <c r="E25" s="31" t="n">
        <v>298446.18</v>
      </c>
      <c r="F25" s="31" t="n">
        <v>222914.45</v>
      </c>
      <c r="G25" s="31" t="n">
        <v>266192.89</v>
      </c>
      <c r="H25" s="34" t="n">
        <v>481513.85</v>
      </c>
      <c r="I25" s="32" t="n">
        <v>164401.83</v>
      </c>
      <c r="J25" s="34" t="n">
        <v>6324.6</v>
      </c>
      <c r="K25" s="32" t="n">
        <v>0</v>
      </c>
      <c r="L25" s="34" t="n">
        <v>9164.42</v>
      </c>
      <c r="M25" s="32" t="n">
        <v>0</v>
      </c>
      <c r="N25" s="32" t="n">
        <v>68576.23</v>
      </c>
      <c r="O25" s="32" t="n">
        <v>0</v>
      </c>
      <c r="P25" s="32" t="n">
        <v>0</v>
      </c>
      <c r="Q25" s="32" t="n">
        <v>0</v>
      </c>
      <c r="R25" s="37" t="n">
        <v>579853.96</v>
      </c>
      <c r="S25" s="33" t="n">
        <v>109170.91</v>
      </c>
      <c r="T25" s="31" t="n">
        <f aca="false">22321.97+179829.09</f>
        <v>202151.06</v>
      </c>
      <c r="U25" s="31" t="n">
        <v>0</v>
      </c>
      <c r="V25" s="31" t="n">
        <v>0</v>
      </c>
      <c r="W25" s="31" t="n">
        <v>0</v>
      </c>
      <c r="X25" s="31" t="n">
        <v>0</v>
      </c>
      <c r="Y25" s="31" t="n">
        <v>0</v>
      </c>
      <c r="Z25" s="31" t="n">
        <v>0</v>
      </c>
      <c r="AA25" s="27"/>
      <c r="AB25" s="28"/>
      <c r="AC25" s="27"/>
      <c r="AE25" s="29"/>
      <c r="AF25" s="30" t="n">
        <f aca="false">SUM(C25:Z25)</f>
        <v>2408710.38</v>
      </c>
      <c r="AG25" s="1" t="n">
        <f aca="false">AA24-AF25</f>
        <v>-0.00222222274169326</v>
      </c>
      <c r="AH25" s="38"/>
    </row>
    <row r="26" customFormat="false" ht="18.75" hidden="false" customHeight="false" outlineLevel="0" collapsed="false">
      <c r="A26" s="23" t="s">
        <v>48</v>
      </c>
      <c r="B26" s="24" t="s">
        <v>49</v>
      </c>
      <c r="C26" s="25" t="n">
        <v>0</v>
      </c>
      <c r="D26" s="25" t="n">
        <v>0</v>
      </c>
      <c r="E26" s="25" t="n">
        <v>0</v>
      </c>
      <c r="F26" s="25" t="n">
        <v>0</v>
      </c>
      <c r="G26" s="25" t="n">
        <v>0</v>
      </c>
      <c r="H26" s="25" t="n">
        <v>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6" t="n">
        <v>0</v>
      </c>
      <c r="O26" s="26" t="n">
        <v>0</v>
      </c>
      <c r="P26" s="26" t="n">
        <v>0</v>
      </c>
      <c r="Q26" s="26" t="n">
        <v>0</v>
      </c>
      <c r="R26" s="26" t="n">
        <v>0</v>
      </c>
      <c r="S26" s="26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41" t="n">
        <f aca="false">Y27/$AA$26</f>
        <v>0.849999996389919</v>
      </c>
      <c r="Z26" s="41" t="n">
        <f aca="false">Z27/$AA$26</f>
        <v>0.150000003610081</v>
      </c>
      <c r="AA26" s="27" t="n">
        <f aca="false">AE26/1.35</f>
        <v>277002.06</v>
      </c>
      <c r="AB26" s="28" t="n">
        <v>0.35</v>
      </c>
      <c r="AC26" s="27" t="n">
        <f aca="false">AA26*AB26+AA26</f>
        <v>373952.781</v>
      </c>
      <c r="AE26" s="29" t="n">
        <v>373952.781</v>
      </c>
      <c r="AF26" s="16" t="n">
        <f aca="false">SUM(C26:Z26)</f>
        <v>1</v>
      </c>
      <c r="AH26" s="30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</row>
    <row r="27" customFormat="false" ht="30" hidden="false" customHeight="true" outlineLevel="0" collapsed="false">
      <c r="A27" s="23"/>
      <c r="B27" s="24"/>
      <c r="C27" s="31" t="n">
        <v>0</v>
      </c>
      <c r="D27" s="31" t="n">
        <v>0</v>
      </c>
      <c r="E27" s="31" t="n">
        <v>0</v>
      </c>
      <c r="F27" s="31" t="n">
        <v>0</v>
      </c>
      <c r="G27" s="31" t="n">
        <v>0</v>
      </c>
      <c r="H27" s="31" t="n">
        <v>0</v>
      </c>
      <c r="I27" s="32" t="n">
        <v>0</v>
      </c>
      <c r="J27" s="31" t="n">
        <v>0</v>
      </c>
      <c r="K27" s="32" t="n">
        <v>0</v>
      </c>
      <c r="L27" s="31" t="n">
        <v>0</v>
      </c>
      <c r="M27" s="32" t="n">
        <v>0</v>
      </c>
      <c r="N27" s="32" t="n">
        <v>0</v>
      </c>
      <c r="O27" s="32" t="n">
        <v>0</v>
      </c>
      <c r="P27" s="32" t="n">
        <v>0</v>
      </c>
      <c r="Q27" s="32" t="n">
        <v>0</v>
      </c>
      <c r="R27" s="32" t="n">
        <v>0</v>
      </c>
      <c r="S27" s="33" t="n">
        <v>0</v>
      </c>
      <c r="T27" s="31" t="n">
        <v>0</v>
      </c>
      <c r="U27" s="31" t="n">
        <v>0</v>
      </c>
      <c r="V27" s="31" t="n">
        <v>0</v>
      </c>
      <c r="W27" s="31" t="n">
        <v>0</v>
      </c>
      <c r="X27" s="31" t="n">
        <v>0</v>
      </c>
      <c r="Y27" s="31" t="n">
        <v>235451.75</v>
      </c>
      <c r="Z27" s="31" t="n">
        <v>41550.31</v>
      </c>
      <c r="AA27" s="27"/>
      <c r="AB27" s="28"/>
      <c r="AC27" s="27"/>
      <c r="AE27" s="29"/>
      <c r="AF27" s="30" t="n">
        <f aca="false">SUM(C27:Z27)</f>
        <v>277002.06</v>
      </c>
      <c r="AG27" s="1" t="n">
        <f aca="false">AA26-AF27</f>
        <v>0</v>
      </c>
    </row>
    <row r="28" customFormat="false" ht="18.75" hidden="false" customHeight="false" outlineLevel="0" collapsed="false">
      <c r="A28" s="23" t="s">
        <v>50</v>
      </c>
      <c r="B28" s="24" t="s">
        <v>51</v>
      </c>
      <c r="C28" s="25" t="n">
        <f aca="false">C29/$AA$28</f>
        <v>0</v>
      </c>
      <c r="D28" s="25" t="n">
        <f aca="false">D29/$AA$28</f>
        <v>0</v>
      </c>
      <c r="E28" s="25" t="n">
        <f aca="false">E29/$AA$28</f>
        <v>0</v>
      </c>
      <c r="F28" s="25" t="n">
        <f aca="false">F29/$AA$28</f>
        <v>0</v>
      </c>
      <c r="G28" s="25" t="n">
        <f aca="false">G29/$AA$28</f>
        <v>0</v>
      </c>
      <c r="H28" s="25" t="n">
        <f aca="false">H29/$AA$28</f>
        <v>0</v>
      </c>
      <c r="I28" s="25" t="n">
        <f aca="false">I29/$AA$28</f>
        <v>0</v>
      </c>
      <c r="J28" s="25" t="n">
        <f aca="false">J29/$AA$28</f>
        <v>0</v>
      </c>
      <c r="K28" s="25" t="n">
        <f aca="false">K29/$AA$28</f>
        <v>0</v>
      </c>
      <c r="L28" s="25" t="n">
        <f aca="false">L29/$AA$28</f>
        <v>0</v>
      </c>
      <c r="M28" s="25" t="n">
        <f aca="false">M29/$AA$28</f>
        <v>0</v>
      </c>
      <c r="N28" s="26" t="n">
        <f aca="false">N29/$AA$28</f>
        <v>0</v>
      </c>
      <c r="O28" s="26" t="n">
        <f aca="false">O29/$AA$28</f>
        <v>0</v>
      </c>
      <c r="P28" s="26" t="n">
        <f aca="false">P29/$AA$28</f>
        <v>0</v>
      </c>
      <c r="Q28" s="26" t="n">
        <f aca="false">Q29/$AA$28</f>
        <v>0.180023261703563</v>
      </c>
      <c r="R28" s="26" t="n">
        <v>0</v>
      </c>
      <c r="S28" s="26" t="n">
        <f aca="false">S29/$AA$28</f>
        <v>0.0529008164803888</v>
      </c>
      <c r="T28" s="25" t="n">
        <f aca="false">T29/$AA$28</f>
        <v>0</v>
      </c>
      <c r="U28" s="25" t="n">
        <f aca="false">U29/$AA$28</f>
        <v>0</v>
      </c>
      <c r="V28" s="25" t="n">
        <f aca="false">V29/$AA$28</f>
        <v>0</v>
      </c>
      <c r="W28" s="25" t="n">
        <f aca="false">W29/$AA$28</f>
        <v>0</v>
      </c>
      <c r="X28" s="25" t="n">
        <f aca="false">X29/$AA$28</f>
        <v>0.35586147982284</v>
      </c>
      <c r="Y28" s="25" t="n">
        <f aca="false">Y29/$AA$28</f>
        <v>0.411214441993208</v>
      </c>
      <c r="Z28" s="25" t="n">
        <f aca="false">Z29/$AA$28</f>
        <v>0</v>
      </c>
      <c r="AA28" s="27" t="n">
        <f aca="false">AE28/1.35</f>
        <v>1427977.96</v>
      </c>
      <c r="AB28" s="28" t="n">
        <v>0.35</v>
      </c>
      <c r="AC28" s="27" t="n">
        <f aca="false">AA28*AB28+AA28</f>
        <v>1927770.246</v>
      </c>
      <c r="AE28" s="29" t="n">
        <v>1927770.246</v>
      </c>
      <c r="AF28" s="16" t="n">
        <f aca="false">SUM(C28:Z28)</f>
        <v>1</v>
      </c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</row>
    <row r="29" customFormat="false" ht="30" hidden="false" customHeight="true" outlineLevel="0" collapsed="false">
      <c r="A29" s="23"/>
      <c r="B29" s="24"/>
      <c r="C29" s="31" t="n">
        <v>0</v>
      </c>
      <c r="D29" s="31" t="n">
        <v>0</v>
      </c>
      <c r="E29" s="31" t="n">
        <v>0</v>
      </c>
      <c r="F29" s="31" t="n">
        <v>0</v>
      </c>
      <c r="G29" s="31" t="n">
        <v>0</v>
      </c>
      <c r="H29" s="31" t="n">
        <v>0</v>
      </c>
      <c r="I29" s="32" t="n">
        <v>0</v>
      </c>
      <c r="J29" s="31" t="n">
        <v>0</v>
      </c>
      <c r="K29" s="32" t="n">
        <v>0</v>
      </c>
      <c r="L29" s="31" t="n">
        <v>0</v>
      </c>
      <c r="M29" s="32" t="n">
        <v>0</v>
      </c>
      <c r="N29" s="32" t="n">
        <v>0</v>
      </c>
      <c r="O29" s="32" t="n">
        <v>0</v>
      </c>
      <c r="P29" s="32" t="n">
        <v>0</v>
      </c>
      <c r="Q29" s="32" t="n">
        <v>257069.25</v>
      </c>
      <c r="R29" s="32" t="n">
        <v>0</v>
      </c>
      <c r="S29" s="33" t="n">
        <v>75541.2</v>
      </c>
      <c r="T29" s="31" t="n">
        <v>0</v>
      </c>
      <c r="U29" s="31" t="n">
        <v>0</v>
      </c>
      <c r="V29" s="31" t="n">
        <v>0</v>
      </c>
      <c r="W29" s="31" t="n">
        <v>0</v>
      </c>
      <c r="X29" s="31" t="n">
        <f aca="false">768911.87-264655.46+3905.94</f>
        <v>508162.35</v>
      </c>
      <c r="Y29" s="31" t="n">
        <f aca="false">659066.09+3680.27-75541.2</f>
        <v>587205.16</v>
      </c>
      <c r="Z29" s="31" t="n">
        <v>0</v>
      </c>
      <c r="AA29" s="27"/>
      <c r="AB29" s="28"/>
      <c r="AC29" s="27"/>
      <c r="AE29" s="29"/>
      <c r="AF29" s="30" t="n">
        <f aca="false">SUM(C29:Z29)</f>
        <v>1427977.96</v>
      </c>
      <c r="AG29" s="1" t="n">
        <f aca="false">AA28-AF29</f>
        <v>0</v>
      </c>
    </row>
    <row r="30" customFormat="false" ht="18.75" hidden="false" customHeight="false" outlineLevel="0" collapsed="false">
      <c r="A30" s="23" t="s">
        <v>52</v>
      </c>
      <c r="B30" s="24" t="s">
        <v>53</v>
      </c>
      <c r="C30" s="25" t="n">
        <f aca="false">C31/$AA$30</f>
        <v>0</v>
      </c>
      <c r="D30" s="25" t="n">
        <f aca="false">D31/$AA$30</f>
        <v>0</v>
      </c>
      <c r="E30" s="25" t="n">
        <f aca="false">E31/$AA$30</f>
        <v>0</v>
      </c>
      <c r="F30" s="25" t="n">
        <f aca="false">F31/$AA$30</f>
        <v>0</v>
      </c>
      <c r="G30" s="25" t="n">
        <f aca="false">G31/$AA$30</f>
        <v>0.0112505263840032</v>
      </c>
      <c r="H30" s="25" t="n">
        <f aca="false">H31/$AA$30</f>
        <v>0</v>
      </c>
      <c r="I30" s="25" t="n">
        <f aca="false">I31/$AA$30</f>
        <v>0</v>
      </c>
      <c r="J30" s="25" t="n">
        <f aca="false">J31/$AA$30</f>
        <v>0.0450021055360128</v>
      </c>
      <c r="K30" s="25" t="n">
        <f aca="false">K31/$AA$30</f>
        <v>0.0225010527680064</v>
      </c>
      <c r="L30" s="25" t="n">
        <f aca="false">L31/$AA$30</f>
        <v>0.0711033267469002</v>
      </c>
      <c r="M30" s="25" t="n">
        <f aca="false">M31/$AA$30</f>
        <v>0.0742534741344211</v>
      </c>
      <c r="N30" s="26" t="n">
        <f aca="false">N31/$AA$30</f>
        <v>0.024751158044807</v>
      </c>
      <c r="O30" s="26" t="n">
        <f aca="false">O31/$AA$30</f>
        <v>0.049502316089614</v>
      </c>
      <c r="P30" s="26" t="n">
        <f aca="false">P31/$AA$30</f>
        <v>0.0787536846880223</v>
      </c>
      <c r="Q30" s="26" t="n">
        <f aca="false">Q31/$AA$30</f>
        <v>0.0371267370672105</v>
      </c>
      <c r="R30" s="26" t="n">
        <v>0</v>
      </c>
      <c r="S30" s="26" t="n">
        <f aca="false">S31/$AA$30</f>
        <v>0</v>
      </c>
      <c r="T30" s="25" t="n">
        <f aca="false">T31/$AA$30</f>
        <v>0.0782108917920997</v>
      </c>
      <c r="U30" s="25" t="n">
        <f aca="false">U31/$AA$30</f>
        <v>0.0782108917920997</v>
      </c>
      <c r="V30" s="25" t="n">
        <f aca="false">V31/$AA$30</f>
        <v>0.0746558604610713</v>
      </c>
      <c r="W30" s="25" t="n">
        <f aca="false">W31/$AA$30</f>
        <v>0.0817659681252337</v>
      </c>
      <c r="X30" s="25" t="n">
        <f aca="false">X31/$AA$30</f>
        <v>0.0697398529533701</v>
      </c>
      <c r="Y30" s="25" t="n">
        <f aca="false">Y31/$AA$30</f>
        <v>0.087431890719587</v>
      </c>
      <c r="Z30" s="25" t="n">
        <f aca="false">Z31/$AA$30</f>
        <v>0.115740262697541</v>
      </c>
      <c r="AA30" s="27" t="n">
        <f aca="false">AE30/1.35</f>
        <v>444423.65</v>
      </c>
      <c r="AB30" s="28" t="n">
        <v>0.35</v>
      </c>
      <c r="AC30" s="27" t="n">
        <f aca="false">AA30*AB30+AA30</f>
        <v>599971.9275</v>
      </c>
      <c r="AE30" s="29" t="n">
        <v>599971.9275</v>
      </c>
      <c r="AF30" s="16" t="n">
        <f aca="false">SUM(C30:Z30)</f>
        <v>1</v>
      </c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</row>
    <row r="31" customFormat="false" ht="30" hidden="false" customHeight="true" outlineLevel="0" collapsed="false">
      <c r="A31" s="23"/>
      <c r="B31" s="24"/>
      <c r="C31" s="31" t="n">
        <v>0</v>
      </c>
      <c r="D31" s="31" t="n">
        <v>0</v>
      </c>
      <c r="E31" s="31" t="n">
        <v>0</v>
      </c>
      <c r="F31" s="31" t="n">
        <v>0</v>
      </c>
      <c r="G31" s="31" t="n">
        <v>5000</v>
      </c>
      <c r="H31" s="31" t="n">
        <v>0</v>
      </c>
      <c r="I31" s="32" t="n">
        <v>0</v>
      </c>
      <c r="J31" s="31" t="n">
        <v>20000</v>
      </c>
      <c r="K31" s="32" t="n">
        <v>10000</v>
      </c>
      <c r="L31" s="31" t="n">
        <v>31600</v>
      </c>
      <c r="M31" s="32" t="n">
        <v>33000</v>
      </c>
      <c r="N31" s="32" t="n">
        <v>11000</v>
      </c>
      <c r="O31" s="37" t="n">
        <v>22000</v>
      </c>
      <c r="P31" s="32" t="n">
        <v>35000</v>
      </c>
      <c r="Q31" s="32" t="n">
        <v>16500</v>
      </c>
      <c r="R31" s="32" t="n">
        <v>0</v>
      </c>
      <c r="S31" s="33" t="n">
        <v>0</v>
      </c>
      <c r="T31" s="31" t="n">
        <v>34758.77</v>
      </c>
      <c r="U31" s="31" t="n">
        <v>34758.77</v>
      </c>
      <c r="V31" s="31" t="n">
        <v>33178.83</v>
      </c>
      <c r="W31" s="31" t="n">
        <v>36338.73</v>
      </c>
      <c r="X31" s="31" t="n">
        <f aca="false">12380.48+9497.06+9357.68-241.18</f>
        <v>30994.04</v>
      </c>
      <c r="Y31" s="31" t="n">
        <f aca="false">5677.91+33178.89</f>
        <v>38856.8</v>
      </c>
      <c r="Z31" s="31" t="n">
        <f aca="false">19838.74+31598.97</f>
        <v>51437.71</v>
      </c>
      <c r="AA31" s="27"/>
      <c r="AB31" s="28"/>
      <c r="AC31" s="27"/>
      <c r="AE31" s="29"/>
      <c r="AF31" s="30" t="n">
        <f aca="false">SUM(C31:Z31)</f>
        <v>444423.65</v>
      </c>
      <c r="AG31" s="1" t="n">
        <f aca="false">AA30-AF31</f>
        <v>0</v>
      </c>
    </row>
    <row r="32" customFormat="false" ht="22.5" hidden="false" customHeight="true" outlineLevel="0" collapsed="false">
      <c r="A32" s="23" t="s">
        <v>54</v>
      </c>
      <c r="B32" s="39" t="s">
        <v>55</v>
      </c>
      <c r="C32" s="25" t="n">
        <f aca="false">C33/$AA$32</f>
        <v>0</v>
      </c>
      <c r="D32" s="25" t="n">
        <f aca="false">D33/$AA$32</f>
        <v>0</v>
      </c>
      <c r="E32" s="25" t="n">
        <f aca="false">E33/$AA$32</f>
        <v>0</v>
      </c>
      <c r="F32" s="25" t="n">
        <f aca="false">F33/$AA$32</f>
        <v>0</v>
      </c>
      <c r="G32" s="25" t="n">
        <f aca="false">G33/$AA$32</f>
        <v>0</v>
      </c>
      <c r="H32" s="25" t="n">
        <f aca="false">H33/$AA$32</f>
        <v>0.000135512652165033</v>
      </c>
      <c r="I32" s="25" t="n">
        <f aca="false">I33/$AA$32</f>
        <v>0</v>
      </c>
      <c r="J32" s="25" t="n">
        <f aca="false">J33/$AA$32</f>
        <v>0</v>
      </c>
      <c r="K32" s="25" t="n">
        <f aca="false">K33/$AA$32</f>
        <v>0</v>
      </c>
      <c r="L32" s="25" t="n">
        <f aca="false">L33/$AA$32</f>
        <v>0</v>
      </c>
      <c r="M32" s="25" t="n">
        <f aca="false">M33/$AA$32</f>
        <v>0</v>
      </c>
      <c r="N32" s="26" t="n">
        <f aca="false">N33/$AA$32</f>
        <v>0</v>
      </c>
      <c r="O32" s="26" t="n">
        <f aca="false">O33/$AA$32</f>
        <v>0</v>
      </c>
      <c r="P32" s="26" t="n">
        <f aca="false">P33/$AA$32</f>
        <v>0</v>
      </c>
      <c r="Q32" s="26" t="n">
        <f aca="false">Q33/$AA$32</f>
        <v>0</v>
      </c>
      <c r="R32" s="26" t="n">
        <v>0</v>
      </c>
      <c r="S32" s="26" t="n">
        <f aca="false">S33/$AA$32</f>
        <v>0</v>
      </c>
      <c r="T32" s="25" t="n">
        <f aca="false">T33/$AA$32</f>
        <v>0.157851999240474</v>
      </c>
      <c r="U32" s="25" t="n">
        <f aca="false">U33/$AA$32</f>
        <v>0.27161400063944</v>
      </c>
      <c r="V32" s="25" t="n">
        <f aca="false">V33/$AA$32</f>
        <v>0.0846929999689709</v>
      </c>
      <c r="W32" s="25" t="n">
        <f aca="false">W33/$AA$32</f>
        <v>0.127443000623953</v>
      </c>
      <c r="X32" s="25" t="n">
        <f aca="false">X33/$AA$32</f>
        <v>0.152378743931654</v>
      </c>
      <c r="Y32" s="25" t="n">
        <f aca="false">Y33/$AA$32</f>
        <v>0.122015766993095</v>
      </c>
      <c r="Z32" s="25" t="n">
        <f aca="false">Z33/$AA$32</f>
        <v>0.0838679759502467</v>
      </c>
      <c r="AA32" s="27" t="n">
        <f aca="false">AE32/1.35</f>
        <v>6217722.01</v>
      </c>
      <c r="AB32" s="28" t="n">
        <v>0.35</v>
      </c>
      <c r="AC32" s="27" t="n">
        <f aca="false">AA32*AB32+AA32</f>
        <v>8393924.71350001</v>
      </c>
      <c r="AE32" s="29" t="n">
        <v>8393924.71350001</v>
      </c>
      <c r="AF32" s="16" t="n">
        <f aca="false">SUM(C32:Z32)</f>
        <v>1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</row>
    <row r="33" customFormat="false" ht="33" hidden="false" customHeight="true" outlineLevel="0" collapsed="false">
      <c r="A33" s="23"/>
      <c r="B33" s="39"/>
      <c r="C33" s="31" t="n">
        <v>0</v>
      </c>
      <c r="D33" s="31" t="n">
        <v>0</v>
      </c>
      <c r="E33" s="31" t="n">
        <v>0</v>
      </c>
      <c r="F33" s="31" t="n">
        <v>0</v>
      </c>
      <c r="G33" s="31" t="n">
        <v>0</v>
      </c>
      <c r="H33" s="31" t="n">
        <v>842.58</v>
      </c>
      <c r="I33" s="32" t="n">
        <v>0</v>
      </c>
      <c r="J33" s="31" t="n">
        <v>0</v>
      </c>
      <c r="K33" s="32" t="n">
        <v>0</v>
      </c>
      <c r="L33" s="31" t="n">
        <v>0</v>
      </c>
      <c r="M33" s="32" t="n">
        <v>0</v>
      </c>
      <c r="N33" s="32" t="n">
        <v>0</v>
      </c>
      <c r="O33" s="32" t="n">
        <v>0</v>
      </c>
      <c r="P33" s="32" t="n">
        <v>0</v>
      </c>
      <c r="Q33" s="32" t="n">
        <v>0</v>
      </c>
      <c r="R33" s="32" t="n">
        <v>0</v>
      </c>
      <c r="S33" s="33" t="n">
        <v>0</v>
      </c>
      <c r="T33" s="31" t="n">
        <v>981479.85</v>
      </c>
      <c r="U33" s="31" t="n">
        <f aca="false">712669.08+976151.27</f>
        <v>1688820.35</v>
      </c>
      <c r="V33" s="31" t="n">
        <v>526597.53</v>
      </c>
      <c r="W33" s="31" t="n">
        <v>792405.15</v>
      </c>
      <c r="X33" s="31" t="n">
        <f aca="false">491560.67+455888</f>
        <v>947448.67</v>
      </c>
      <c r="Y33" s="31" t="n">
        <f aca="false">208605.03-0.46+550055.55</f>
        <v>758660.12</v>
      </c>
      <c r="Z33" s="31" t="n">
        <v>521467.76</v>
      </c>
      <c r="AA33" s="27"/>
      <c r="AB33" s="28"/>
      <c r="AC33" s="27"/>
      <c r="AE33" s="29"/>
      <c r="AF33" s="30" t="n">
        <f aca="false">SUM(C33:Z33)</f>
        <v>6217722.01</v>
      </c>
      <c r="AG33" s="1" t="n">
        <f aca="false">AA32-AF33</f>
        <v>0</v>
      </c>
    </row>
    <row r="34" customFormat="false" ht="33" hidden="false" customHeight="true" outlineLevel="0" collapsed="false">
      <c r="A34" s="23" t="s">
        <v>56</v>
      </c>
      <c r="B34" s="39" t="s">
        <v>57</v>
      </c>
      <c r="C34" s="25" t="n">
        <f aca="false">C35/$AA$32</f>
        <v>0</v>
      </c>
      <c r="D34" s="25" t="n">
        <f aca="false">D35/$AA$32</f>
        <v>0</v>
      </c>
      <c r="E34" s="25" t="n">
        <f aca="false">E35/$AA$32</f>
        <v>0</v>
      </c>
      <c r="F34" s="25" t="n">
        <f aca="false">F35/$AA$32</f>
        <v>0</v>
      </c>
      <c r="G34" s="25" t="n">
        <f aca="false">G35/$AA$32</f>
        <v>0</v>
      </c>
      <c r="H34" s="25" t="n">
        <f aca="false">H35/$AA$32</f>
        <v>0</v>
      </c>
      <c r="I34" s="25" t="n">
        <f aca="false">I35/$AA$32</f>
        <v>0</v>
      </c>
      <c r="J34" s="25" t="n">
        <f aca="false">J35/$AA$32</f>
        <v>0</v>
      </c>
      <c r="K34" s="25" t="n">
        <f aca="false">K35/$AA$32</f>
        <v>0</v>
      </c>
      <c r="L34" s="25" t="n">
        <f aca="false">L35/$AA$32</f>
        <v>0</v>
      </c>
      <c r="M34" s="25" t="n">
        <f aca="false">M35/$AA$32</f>
        <v>0</v>
      </c>
      <c r="N34" s="26" t="n">
        <f aca="false">N35/$AA$32</f>
        <v>0</v>
      </c>
      <c r="O34" s="26" t="n">
        <f aca="false">O35/$AA$32</f>
        <v>0</v>
      </c>
      <c r="P34" s="26" t="n">
        <f aca="false">P35/$AA$32</f>
        <v>0</v>
      </c>
      <c r="Q34" s="26" t="n">
        <f aca="false">Q35/$AA$32</f>
        <v>0</v>
      </c>
      <c r="R34" s="26" t="n">
        <v>0.953696447019236</v>
      </c>
      <c r="S34" s="26" t="n">
        <f aca="false">S35/$AA$34</f>
        <v>0</v>
      </c>
      <c r="T34" s="26" t="n">
        <f aca="false">T35/$AA$34</f>
        <v>0.0463035450747627</v>
      </c>
      <c r="U34" s="26" t="n">
        <f aca="false">U35/$AA$34</f>
        <v>0</v>
      </c>
      <c r="V34" s="26" t="n">
        <f aca="false">V35/$AA$34</f>
        <v>0</v>
      </c>
      <c r="W34" s="26" t="n">
        <f aca="false">W35/$AA$34</f>
        <v>0</v>
      </c>
      <c r="X34" s="26" t="n">
        <f aca="false">X35/$AA$34</f>
        <v>0</v>
      </c>
      <c r="Y34" s="26" t="n">
        <f aca="false">Y35/$AA$34</f>
        <v>0</v>
      </c>
      <c r="Z34" s="26" t="n">
        <f aca="false">Z35/$AA$34</f>
        <v>0</v>
      </c>
      <c r="AA34" s="27" t="n">
        <f aca="false">AE34/1.35</f>
        <v>281080.422222222</v>
      </c>
      <c r="AB34" s="28" t="n">
        <v>0.35</v>
      </c>
      <c r="AC34" s="27" t="n">
        <f aca="false">AA34*AB34+AA34</f>
        <v>379458.57</v>
      </c>
      <c r="AE34" s="29" t="n">
        <v>379458.57</v>
      </c>
      <c r="AF34" s="16" t="n">
        <f aca="false">SUM(C34:Z34)</f>
        <v>0.999999992093999</v>
      </c>
    </row>
    <row r="35" customFormat="false" ht="33" hidden="false" customHeight="true" outlineLevel="0" collapsed="false">
      <c r="A35" s="23"/>
      <c r="B35" s="39"/>
      <c r="C35" s="31" t="n">
        <v>0</v>
      </c>
      <c r="D35" s="31" t="n">
        <v>0</v>
      </c>
      <c r="E35" s="31" t="n">
        <v>0</v>
      </c>
      <c r="F35" s="31" t="n">
        <v>0</v>
      </c>
      <c r="G35" s="31" t="n">
        <v>0</v>
      </c>
      <c r="H35" s="31" t="n">
        <v>0</v>
      </c>
      <c r="I35" s="32" t="n">
        <v>0</v>
      </c>
      <c r="J35" s="31" t="n">
        <v>0</v>
      </c>
      <c r="K35" s="32" t="n">
        <v>0</v>
      </c>
      <c r="L35" s="31" t="n">
        <v>0</v>
      </c>
      <c r="M35" s="32" t="n">
        <v>0</v>
      </c>
      <c r="N35" s="32" t="n">
        <v>0</v>
      </c>
      <c r="O35" s="32" t="n">
        <v>0</v>
      </c>
      <c r="P35" s="32" t="n">
        <v>0</v>
      </c>
      <c r="Q35" s="32" t="n">
        <v>0</v>
      </c>
      <c r="R35" s="32" t="n">
        <v>268065.4</v>
      </c>
      <c r="S35" s="33" t="n">
        <v>0</v>
      </c>
      <c r="T35" s="31" t="n">
        <v>13015.02</v>
      </c>
      <c r="U35" s="31" t="n">
        <v>0</v>
      </c>
      <c r="V35" s="31" t="n">
        <v>0</v>
      </c>
      <c r="W35" s="31" t="n">
        <v>0</v>
      </c>
      <c r="X35" s="31" t="n">
        <v>0</v>
      </c>
      <c r="Y35" s="31" t="n">
        <v>0</v>
      </c>
      <c r="Z35" s="31" t="n">
        <v>0</v>
      </c>
      <c r="AA35" s="27"/>
      <c r="AB35" s="28"/>
      <c r="AC35" s="27"/>
      <c r="AE35" s="29"/>
      <c r="AF35" s="30" t="n">
        <f aca="false">SUM(C35:Z35)</f>
        <v>281080.42</v>
      </c>
      <c r="AG35" s="1" t="n">
        <f aca="false">AA34-AF35</f>
        <v>0.00222222215961665</v>
      </c>
    </row>
    <row r="36" customFormat="false" ht="33" hidden="false" customHeight="true" outlineLevel="0" collapsed="false">
      <c r="A36" s="23" t="s">
        <v>58</v>
      </c>
      <c r="B36" s="39" t="s">
        <v>59</v>
      </c>
      <c r="C36" s="25" t="n">
        <f aca="false">C37/$AA$32</f>
        <v>0</v>
      </c>
      <c r="D36" s="25" t="n">
        <f aca="false">D37/$AA$32</f>
        <v>0</v>
      </c>
      <c r="E36" s="25" t="n">
        <f aca="false">E37/$AA$32</f>
        <v>0</v>
      </c>
      <c r="F36" s="25" t="n">
        <f aca="false">F37/$AA$32</f>
        <v>0</v>
      </c>
      <c r="G36" s="25" t="n">
        <f aca="false">G37/$AA$32</f>
        <v>0</v>
      </c>
      <c r="H36" s="25" t="n">
        <f aca="false">H37/$AA$32</f>
        <v>0</v>
      </c>
      <c r="I36" s="25" t="n">
        <f aca="false">I37/$AA$32</f>
        <v>0</v>
      </c>
      <c r="J36" s="25" t="n">
        <f aca="false">J37/$AA$32</f>
        <v>0</v>
      </c>
      <c r="K36" s="25" t="n">
        <f aca="false">K37/$AA$32</f>
        <v>0</v>
      </c>
      <c r="L36" s="25" t="n">
        <f aca="false">L37/$AA$32</f>
        <v>0</v>
      </c>
      <c r="M36" s="25" t="n">
        <f aca="false">M37/$AA$32</f>
        <v>0</v>
      </c>
      <c r="N36" s="26" t="n">
        <f aca="false">N37/$AA$32</f>
        <v>0</v>
      </c>
      <c r="O36" s="26" t="n">
        <f aca="false">O37/$AA$32</f>
        <v>0</v>
      </c>
      <c r="P36" s="26" t="n">
        <f aca="false">P37/$AA$32</f>
        <v>0</v>
      </c>
      <c r="Q36" s="26" t="n">
        <f aca="false">Q37/$AA$32</f>
        <v>0</v>
      </c>
      <c r="R36" s="26" t="n">
        <v>0.860447171470811</v>
      </c>
      <c r="S36" s="26" t="n">
        <f aca="false">S37/$AA$36</f>
        <v>0</v>
      </c>
      <c r="T36" s="26" t="n">
        <f aca="false">T37/$AA$36</f>
        <v>0.139552839948685</v>
      </c>
      <c r="U36" s="26" t="n">
        <f aca="false">U37/$AA$36</f>
        <v>0</v>
      </c>
      <c r="V36" s="26" t="n">
        <f aca="false">V37/$AA$36</f>
        <v>0</v>
      </c>
      <c r="W36" s="26" t="n">
        <f aca="false">W37/$AA$36</f>
        <v>0</v>
      </c>
      <c r="X36" s="26" t="n">
        <f aca="false">X37/$AA$36</f>
        <v>0</v>
      </c>
      <c r="Y36" s="26" t="n">
        <f aca="false">Y37/$AA$36</f>
        <v>0</v>
      </c>
      <c r="Z36" s="26" t="n">
        <f aca="false">Z37/$AA$36</f>
        <v>0</v>
      </c>
      <c r="AA36" s="27" t="n">
        <f aca="false">AE36/1.35</f>
        <v>97299.4888888889</v>
      </c>
      <c r="AB36" s="28" t="n">
        <v>0.35</v>
      </c>
      <c r="AC36" s="27" t="n">
        <f aca="false">AA36*AB36+AA36</f>
        <v>131354.31</v>
      </c>
      <c r="AE36" s="29" t="n">
        <v>131354.31</v>
      </c>
      <c r="AF36" s="16" t="n">
        <f aca="false">SUM(C36:Z36)</f>
        <v>1.0000000114195</v>
      </c>
    </row>
    <row r="37" customFormat="false" ht="33" hidden="false" customHeight="true" outlineLevel="0" collapsed="false">
      <c r="A37" s="23"/>
      <c r="B37" s="39"/>
      <c r="C37" s="31" t="n">
        <v>0</v>
      </c>
      <c r="D37" s="31" t="n">
        <v>0</v>
      </c>
      <c r="E37" s="31" t="n">
        <v>0</v>
      </c>
      <c r="F37" s="31" t="n">
        <v>0</v>
      </c>
      <c r="G37" s="31" t="n">
        <v>0</v>
      </c>
      <c r="H37" s="31" t="n">
        <v>0</v>
      </c>
      <c r="I37" s="32" t="n">
        <v>0</v>
      </c>
      <c r="J37" s="31" t="n">
        <v>0</v>
      </c>
      <c r="K37" s="32" t="n">
        <v>0</v>
      </c>
      <c r="L37" s="31" t="n">
        <v>0</v>
      </c>
      <c r="M37" s="32" t="n">
        <v>0</v>
      </c>
      <c r="N37" s="32" t="n">
        <v>0</v>
      </c>
      <c r="O37" s="32" t="n">
        <v>0</v>
      </c>
      <c r="P37" s="32" t="n">
        <v>0</v>
      </c>
      <c r="Q37" s="32" t="n">
        <v>0</v>
      </c>
      <c r="R37" s="32" t="n">
        <v>83721.07</v>
      </c>
      <c r="S37" s="33" t="n">
        <v>0</v>
      </c>
      <c r="T37" s="31" t="n">
        <v>13578.42</v>
      </c>
      <c r="U37" s="31" t="n">
        <v>0</v>
      </c>
      <c r="V37" s="31" t="n">
        <v>0</v>
      </c>
      <c r="W37" s="31" t="n">
        <v>0</v>
      </c>
      <c r="X37" s="31" t="n">
        <v>0</v>
      </c>
      <c r="Y37" s="31" t="n">
        <v>0</v>
      </c>
      <c r="Z37" s="31" t="n">
        <v>0</v>
      </c>
      <c r="AA37" s="27"/>
      <c r="AB37" s="28"/>
      <c r="AC37" s="27"/>
      <c r="AE37" s="29"/>
      <c r="AF37" s="30" t="n">
        <f aca="false">SUM(C37:Z37)</f>
        <v>97299.49</v>
      </c>
      <c r="AG37" s="1" t="n">
        <f aca="false">AA36-AF37</f>
        <v>-0.00111111112346407</v>
      </c>
    </row>
    <row r="38" customFormat="false" ht="53.25" hidden="false" customHeight="true" outlineLevel="0" collapsed="false">
      <c r="A38" s="23" t="s">
        <v>60</v>
      </c>
      <c r="B38" s="39" t="s">
        <v>61</v>
      </c>
      <c r="C38" s="25" t="n">
        <f aca="false">C39/$AA$32</f>
        <v>0</v>
      </c>
      <c r="D38" s="25" t="n">
        <f aca="false">D39/$AA$32</f>
        <v>0</v>
      </c>
      <c r="E38" s="25" t="n">
        <f aca="false">E39/$AA$32</f>
        <v>0</v>
      </c>
      <c r="F38" s="25" t="n">
        <f aca="false">F39/$AA$32</f>
        <v>0</v>
      </c>
      <c r="G38" s="25" t="n">
        <f aca="false">G39/$AA$32</f>
        <v>0</v>
      </c>
      <c r="H38" s="25" t="n">
        <f aca="false">H39/$AA$32</f>
        <v>0</v>
      </c>
      <c r="I38" s="25" t="n">
        <f aca="false">I39/$AA$32</f>
        <v>0</v>
      </c>
      <c r="J38" s="25" t="n">
        <f aca="false">J39/$AA$32</f>
        <v>0</v>
      </c>
      <c r="K38" s="25" t="n">
        <f aca="false">K39/$AA$32</f>
        <v>0</v>
      </c>
      <c r="L38" s="25" t="n">
        <f aca="false">L39/$AA$32</f>
        <v>0</v>
      </c>
      <c r="M38" s="25" t="n">
        <f aca="false">M39/$AA$32</f>
        <v>0</v>
      </c>
      <c r="N38" s="26" t="n">
        <f aca="false">N39/$AA$32</f>
        <v>0</v>
      </c>
      <c r="O38" s="26" t="n">
        <f aca="false">O39/$AA$32</f>
        <v>0</v>
      </c>
      <c r="P38" s="26" t="n">
        <f aca="false">P39/$AA$32</f>
        <v>0</v>
      </c>
      <c r="Q38" s="26" t="n">
        <f aca="false">Q39/$AA$32</f>
        <v>0</v>
      </c>
      <c r="R38" s="26" t="n">
        <v>0</v>
      </c>
      <c r="S38" s="26" t="n">
        <f aca="false">S39/$AA$38</f>
        <v>0</v>
      </c>
      <c r="T38" s="26" t="n">
        <f aca="false">T39/$AA$38</f>
        <v>0</v>
      </c>
      <c r="U38" s="26" t="n">
        <f aca="false">U39/$AA$38</f>
        <v>0.999999880180544</v>
      </c>
      <c r="V38" s="26" t="n">
        <f aca="false">V39/$AA$38</f>
        <v>0</v>
      </c>
      <c r="W38" s="26" t="n">
        <f aca="false">W39/$AA$38</f>
        <v>0</v>
      </c>
      <c r="X38" s="26" t="n">
        <f aca="false">X39/$AA$38</f>
        <v>0</v>
      </c>
      <c r="Y38" s="26" t="n">
        <f aca="false">Y39/$AA$38</f>
        <v>0</v>
      </c>
      <c r="Z38" s="26" t="n">
        <f aca="false">Z39/$AA$38</f>
        <v>0</v>
      </c>
      <c r="AA38" s="27" t="n">
        <f aca="false">AE38/1.35</f>
        <v>12364.2814814815</v>
      </c>
      <c r="AB38" s="28" t="n">
        <v>0.35</v>
      </c>
      <c r="AC38" s="27" t="n">
        <f aca="false">AA38*AB38+AA38</f>
        <v>16691.78</v>
      </c>
      <c r="AE38" s="29" t="n">
        <v>16691.78</v>
      </c>
      <c r="AF38" s="16" t="n">
        <f aca="false">SUM(C38:Z38)</f>
        <v>0.999999880180544</v>
      </c>
    </row>
    <row r="39" customFormat="false" ht="53.25" hidden="false" customHeight="true" outlineLevel="0" collapsed="false">
      <c r="A39" s="23"/>
      <c r="B39" s="39"/>
      <c r="C39" s="31" t="n">
        <v>0</v>
      </c>
      <c r="D39" s="31" t="n">
        <v>0</v>
      </c>
      <c r="E39" s="31" t="n">
        <v>0</v>
      </c>
      <c r="F39" s="31" t="n">
        <v>0</v>
      </c>
      <c r="G39" s="31" t="n">
        <v>0</v>
      </c>
      <c r="H39" s="31" t="n">
        <v>0</v>
      </c>
      <c r="I39" s="32" t="n">
        <v>0</v>
      </c>
      <c r="J39" s="31" t="n">
        <v>0</v>
      </c>
      <c r="K39" s="32" t="n">
        <v>0</v>
      </c>
      <c r="L39" s="31" t="n">
        <v>0</v>
      </c>
      <c r="M39" s="32" t="n">
        <v>0</v>
      </c>
      <c r="N39" s="32" t="n">
        <v>0</v>
      </c>
      <c r="O39" s="32" t="n">
        <v>0</v>
      </c>
      <c r="P39" s="32" t="n">
        <v>0</v>
      </c>
      <c r="Q39" s="32" t="n">
        <v>0</v>
      </c>
      <c r="R39" s="32" t="n">
        <v>0</v>
      </c>
      <c r="S39" s="33" t="n">
        <v>0</v>
      </c>
      <c r="T39" s="31" t="n">
        <v>0</v>
      </c>
      <c r="U39" s="31" t="n">
        <v>12364.28</v>
      </c>
      <c r="V39" s="31" t="n">
        <v>0</v>
      </c>
      <c r="W39" s="31" t="n">
        <v>0</v>
      </c>
      <c r="X39" s="31" t="n">
        <v>0</v>
      </c>
      <c r="Y39" s="31" t="n">
        <v>0</v>
      </c>
      <c r="Z39" s="31" t="n">
        <v>0</v>
      </c>
      <c r="AA39" s="27"/>
      <c r="AB39" s="28"/>
      <c r="AC39" s="27"/>
      <c r="AE39" s="29"/>
      <c r="AF39" s="30" t="n">
        <f aca="false">SUM(C39:Z39)</f>
        <v>12364.28</v>
      </c>
      <c r="AG39" s="1" t="n">
        <f aca="false">AA38-AF39</f>
        <v>0.00148148147854954</v>
      </c>
    </row>
    <row r="40" customFormat="false" ht="33" hidden="false" customHeight="true" outlineLevel="0" collapsed="false">
      <c r="A40" s="23" t="s">
        <v>62</v>
      </c>
      <c r="B40" s="39" t="s">
        <v>63</v>
      </c>
      <c r="C40" s="25" t="n">
        <f aca="false">C41/$AA$32</f>
        <v>0</v>
      </c>
      <c r="D40" s="25" t="n">
        <f aca="false">D41/$AA$32</f>
        <v>0</v>
      </c>
      <c r="E40" s="25" t="n">
        <f aca="false">E41/$AA$32</f>
        <v>0</v>
      </c>
      <c r="F40" s="25" t="n">
        <f aca="false">F41/$AA$32</f>
        <v>0</v>
      </c>
      <c r="G40" s="25" t="n">
        <f aca="false">G41/$AA$32</f>
        <v>0</v>
      </c>
      <c r="H40" s="25" t="n">
        <f aca="false">H41/$AA$32</f>
        <v>0</v>
      </c>
      <c r="I40" s="25" t="n">
        <f aca="false">I41/$AA$32</f>
        <v>0</v>
      </c>
      <c r="J40" s="25" t="n">
        <f aca="false">J41/$AA$32</f>
        <v>0</v>
      </c>
      <c r="K40" s="25" t="n">
        <f aca="false">K41/$AA$32</f>
        <v>0</v>
      </c>
      <c r="L40" s="25" t="n">
        <f aca="false">L41/$AA$32</f>
        <v>0</v>
      </c>
      <c r="M40" s="25" t="n">
        <f aca="false">M41/$AA$32</f>
        <v>0</v>
      </c>
      <c r="N40" s="26" t="n">
        <f aca="false">N41/$AA$32</f>
        <v>0</v>
      </c>
      <c r="O40" s="26" t="n">
        <f aca="false">O41/$AA$32</f>
        <v>0</v>
      </c>
      <c r="P40" s="26" t="n">
        <f aca="false">P41/$AA$32</f>
        <v>0</v>
      </c>
      <c r="Q40" s="26" t="n">
        <f aca="false">Q41/$AA$32</f>
        <v>0</v>
      </c>
      <c r="R40" s="26" t="n">
        <v>0</v>
      </c>
      <c r="S40" s="26" t="n">
        <f aca="false">S41/$AA$40</f>
        <v>0.152648474760884</v>
      </c>
      <c r="T40" s="26" t="n">
        <f aca="false">T41/$AA$40</f>
        <v>0.847351535904318</v>
      </c>
      <c r="U40" s="26" t="n">
        <f aca="false">U41/$AA$40</f>
        <v>0</v>
      </c>
      <c r="V40" s="26" t="n">
        <f aca="false">V41/$AA$40</f>
        <v>0</v>
      </c>
      <c r="W40" s="26" t="n">
        <f aca="false">W41/$AA$40</f>
        <v>0</v>
      </c>
      <c r="X40" s="26" t="n">
        <f aca="false">X41/$AA$40</f>
        <v>0</v>
      </c>
      <c r="Y40" s="26" t="n">
        <f aca="false">Y41/$AA$40</f>
        <v>0</v>
      </c>
      <c r="Z40" s="26" t="n">
        <f aca="false">Z41/$AA$40</f>
        <v>0</v>
      </c>
      <c r="AA40" s="27" t="n">
        <f aca="false">AE40/1.35</f>
        <v>173634.948148148</v>
      </c>
      <c r="AB40" s="28" t="n">
        <v>0.35</v>
      </c>
      <c r="AC40" s="27" t="n">
        <f aca="false">AA40*AB40+AA40</f>
        <v>234407.18</v>
      </c>
      <c r="AE40" s="29" t="n">
        <v>234407.18</v>
      </c>
      <c r="AF40" s="16" t="n">
        <f aca="false">SUM(C40:Z40)</f>
        <v>1.0000000106652</v>
      </c>
    </row>
    <row r="41" customFormat="false" ht="33" hidden="false" customHeight="true" outlineLevel="0" collapsed="false">
      <c r="A41" s="23"/>
      <c r="B41" s="39"/>
      <c r="C41" s="31" t="n">
        <v>0</v>
      </c>
      <c r="D41" s="31" t="n">
        <v>0</v>
      </c>
      <c r="E41" s="31" t="n">
        <v>0</v>
      </c>
      <c r="F41" s="31" t="n">
        <v>0</v>
      </c>
      <c r="G41" s="31" t="n">
        <v>0</v>
      </c>
      <c r="H41" s="31" t="n">
        <v>0</v>
      </c>
      <c r="I41" s="32" t="n">
        <v>0</v>
      </c>
      <c r="J41" s="31" t="n">
        <v>0</v>
      </c>
      <c r="K41" s="32" t="n">
        <v>0</v>
      </c>
      <c r="L41" s="31" t="n">
        <v>0</v>
      </c>
      <c r="M41" s="32" t="n">
        <v>0</v>
      </c>
      <c r="N41" s="32" t="n">
        <v>0</v>
      </c>
      <c r="O41" s="32" t="n">
        <v>0</v>
      </c>
      <c r="P41" s="32" t="n">
        <v>0</v>
      </c>
      <c r="Q41" s="32" t="n">
        <v>0</v>
      </c>
      <c r="R41" s="32" t="n">
        <v>0</v>
      </c>
      <c r="S41" s="33" t="n">
        <v>26505.11</v>
      </c>
      <c r="T41" s="31" t="n">
        <f aca="false">147129.94-0.1</f>
        <v>147129.84</v>
      </c>
      <c r="U41" s="31" t="n">
        <v>0</v>
      </c>
      <c r="V41" s="31" t="n">
        <v>0</v>
      </c>
      <c r="W41" s="31" t="n">
        <v>0</v>
      </c>
      <c r="X41" s="31" t="n">
        <v>0</v>
      </c>
      <c r="Y41" s="31" t="n">
        <v>0</v>
      </c>
      <c r="Z41" s="31" t="n">
        <v>0</v>
      </c>
      <c r="AA41" s="27"/>
      <c r="AB41" s="28"/>
      <c r="AC41" s="27"/>
      <c r="AE41" s="29"/>
      <c r="AF41" s="30" t="n">
        <f aca="false">SUM(C41:Z41)</f>
        <v>173634.95</v>
      </c>
      <c r="AG41" s="1" t="n">
        <f aca="false">AA40-AF41</f>
        <v>-0.00185185187729076</v>
      </c>
    </row>
    <row r="42" customFormat="false" ht="51" hidden="false" customHeight="true" outlineLevel="0" collapsed="false">
      <c r="A42" s="17" t="s">
        <v>64</v>
      </c>
      <c r="B42" s="17"/>
      <c r="C42" s="42" t="n">
        <f aca="false">C13+C15+C17+C19+C21+C23+C25+C27+C29+C31+C33+C35+C37+C39+C41</f>
        <v>9559.27</v>
      </c>
      <c r="D42" s="42" t="n">
        <f aca="false">D13+D15+D17+D19+D21+D23+D25+D27+D29+D31+D33+D35+D37+D39+D41</f>
        <v>6011.67</v>
      </c>
      <c r="E42" s="42" t="n">
        <f aca="false">E13+E15+E17+E19+E21+E23+E25+E27+E29+E31+E33+E35+E37+E39+E41</f>
        <v>394896.25</v>
      </c>
      <c r="F42" s="42" t="n">
        <f aca="false">F13+F15+F17+F19+F21+F23+F25+F27+F29+F31+F33+F35+F37+F39+F41</f>
        <v>797983.93</v>
      </c>
      <c r="G42" s="42" t="n">
        <f aca="false">G13+G15+G17+G19+G21+G23+G25+G27+G29+G31+G33+G35+G37+G39+G41</f>
        <v>859702.15</v>
      </c>
      <c r="H42" s="42" t="n">
        <f aca="false">H13+H15+H17+H19+H21+H23+H25+H27+H29+H31+H33+H35+H37+H39+H41</f>
        <v>966788.34</v>
      </c>
      <c r="I42" s="42" t="n">
        <f aca="false">I13+I15+I17+I19+I21+I23+I25+I27+I29+I31+I33+I35+I37+I39+I41</f>
        <v>1153241.79</v>
      </c>
      <c r="J42" s="42" t="n">
        <f aca="false">J13+J15+J17+J19+J21+J23+J25+J27+J29+J31+J33+J35+J37+J39+J41</f>
        <v>951466.73</v>
      </c>
      <c r="K42" s="42" t="n">
        <f aca="false">K13+K15+K17+K19+K21+K23+K25+K27+K29+K31+K33+K35+K37+K39+K41</f>
        <v>865675.75</v>
      </c>
      <c r="L42" s="42" t="n">
        <f aca="false">L13+L15+L17+L19+L21+L23+L25+L27+L29+L31+L33+L35+L37+L39+L41</f>
        <v>647134.32</v>
      </c>
      <c r="M42" s="42" t="n">
        <f aca="false">M13+M15+M17+M19+M21+M23+M25+M27+M29+M31+M33+M35+M37+M39+M41</f>
        <v>585016.48</v>
      </c>
      <c r="N42" s="42" t="n">
        <f aca="false">N13+N15+N17+N19+N21+N23+N25+N27+N29+N31+N33+N35+N37+N39+N41</f>
        <v>483680.96</v>
      </c>
      <c r="O42" s="42" t="n">
        <f aca="false">O13+O15+O17+O19+O21+O23+O25+O27+O29+O31+O33+O35+O37+O39+O41</f>
        <v>306745.73</v>
      </c>
      <c r="P42" s="42" t="n">
        <f aca="false">P13+P15+P17+P19+P21+P23+P25+P27+P29+P31+P33+P35+P37+P39+P41</f>
        <v>216783.23</v>
      </c>
      <c r="Q42" s="42" t="n">
        <f aca="false">Q13+Q15+Q17+Q19+Q21+Q23+Q25+Q27+Q29+Q31+Q33+Q35+Q37+Q39+Q41</f>
        <v>746584.92</v>
      </c>
      <c r="R42" s="43" t="n">
        <v>1379192.17</v>
      </c>
      <c r="S42" s="44" t="n">
        <f aca="false">S13+S15+S17+S19+S21+S23+S25+S27+S29+S31+S33+S35+S37+S39+S41</f>
        <v>633701.91</v>
      </c>
      <c r="T42" s="42" t="n">
        <f aca="false">T13+T15+T17+T19+T21+T23+T25+T27+T29+T31+T33+T35+T37+T39+T41</f>
        <v>2150718.115</v>
      </c>
      <c r="U42" s="42" t="n">
        <f aca="false">U13+U15+U17+U19+U21+U23+U25+U27+U29+U31+U33+U35+U37+U39+U41</f>
        <v>2782568.36</v>
      </c>
      <c r="V42" s="42" t="n">
        <f aca="false">V13+V15+V17+V19+V21+V23+V25+V27+V29+V31+V33+V35+V37+V39+V41</f>
        <v>2511621.89</v>
      </c>
      <c r="W42" s="42" t="n">
        <f aca="false">W13+W15+W17+W19+W21+W23+W25+W27+W29+W31+W33+W35+W37+W39+W41</f>
        <v>2347270.33</v>
      </c>
      <c r="X42" s="42" t="n">
        <f aca="false">X13+X15+X17+X19+X21+X23+X25+X27+X29+X31+X33+X35+X37+X39+X41</f>
        <v>2612517.32</v>
      </c>
      <c r="Y42" s="42" t="n">
        <f aca="false">Y13+Y15+Y17+Y19+Y21+Y23+Y25+Y27+Y29+Y31+Y33+Y35+Y37+Y39+Y41</f>
        <v>2455495.57</v>
      </c>
      <c r="Z42" s="42" t="n">
        <f aca="false">Z13+Z15+Z17+Z19+Z21+Z23+Z25+Z27+Z29+Z31+Z33+Z35+Z37+Z39+Z41-0.07</f>
        <v>1972776.07</v>
      </c>
      <c r="AA42" s="45" t="n">
        <f aca="false">SUM(AA12:AA41)-0.07</f>
        <v>27837133.2611111</v>
      </c>
      <c r="AB42" s="46" t="n">
        <v>0.35</v>
      </c>
      <c r="AC42" s="45" t="n">
        <f aca="false">SUM(AC12:AC41)-0.1</f>
        <v>37580129.897</v>
      </c>
    </row>
    <row r="43" customFormat="false" ht="21" hidden="false" customHeight="true" outlineLevel="0" collapsed="false">
      <c r="A43" s="17" t="s">
        <v>32</v>
      </c>
      <c r="B43" s="17"/>
      <c r="C43" s="47" t="n">
        <v>0.35</v>
      </c>
      <c r="D43" s="47" t="n">
        <v>0.35</v>
      </c>
      <c r="E43" s="47" t="n">
        <v>0.35</v>
      </c>
      <c r="F43" s="47" t="n">
        <v>0.35</v>
      </c>
      <c r="G43" s="47" t="n">
        <v>0.35</v>
      </c>
      <c r="H43" s="47" t="n">
        <v>0.35</v>
      </c>
      <c r="I43" s="48" t="n">
        <v>0.35</v>
      </c>
      <c r="J43" s="47" t="n">
        <v>0.35</v>
      </c>
      <c r="K43" s="48" t="n">
        <v>0.35</v>
      </c>
      <c r="L43" s="47" t="n">
        <v>0.35</v>
      </c>
      <c r="M43" s="48" t="n">
        <v>0.35</v>
      </c>
      <c r="N43" s="48" t="n">
        <v>0.35</v>
      </c>
      <c r="O43" s="48" t="n">
        <v>0.35</v>
      </c>
      <c r="P43" s="48" t="n">
        <v>0.35</v>
      </c>
      <c r="Q43" s="48" t="n">
        <v>0.35</v>
      </c>
      <c r="R43" s="48" t="n">
        <v>0.35</v>
      </c>
      <c r="S43" s="49" t="n">
        <v>0.35</v>
      </c>
      <c r="T43" s="47" t="n">
        <v>0.35</v>
      </c>
      <c r="U43" s="47" t="n">
        <v>0.35</v>
      </c>
      <c r="V43" s="47" t="n">
        <v>0.35</v>
      </c>
      <c r="W43" s="47" t="n">
        <v>0.35</v>
      </c>
      <c r="X43" s="47" t="n">
        <v>0.35</v>
      </c>
      <c r="Y43" s="47" t="n">
        <v>0.35</v>
      </c>
      <c r="Z43" s="47" t="n">
        <v>0.35</v>
      </c>
      <c r="AA43" s="50"/>
      <c r="AB43" s="50"/>
      <c r="AC43" s="50"/>
      <c r="AE43" s="38" t="n">
        <f aca="false">SUM(C42:Z42)</f>
        <v>27837133.255</v>
      </c>
      <c r="AF43" s="22"/>
    </row>
    <row r="44" customFormat="false" ht="30" hidden="false" customHeight="true" outlineLevel="0" collapsed="false">
      <c r="A44" s="17" t="s">
        <v>65</v>
      </c>
      <c r="B44" s="17"/>
      <c r="C44" s="51" t="n">
        <f aca="false">ROUND(C42*C43+C42,2)</f>
        <v>12905.01</v>
      </c>
      <c r="D44" s="51" t="n">
        <f aca="false">(D42*D43)+D42</f>
        <v>8115.7545</v>
      </c>
      <c r="E44" s="51" t="n">
        <f aca="false">ROUND(E42*E43+E42,3)</f>
        <v>533109.938</v>
      </c>
      <c r="F44" s="51" t="n">
        <f aca="false">ROUND(F42*F43+F42,3)</f>
        <v>1077278.306</v>
      </c>
      <c r="G44" s="51" t="n">
        <f aca="false">ROUND(G42*G43+G42,3)</f>
        <v>1160597.903</v>
      </c>
      <c r="H44" s="51" t="n">
        <v>1305164.259</v>
      </c>
      <c r="I44" s="52" t="n">
        <f aca="false">ROUND(I42*I43+I42,3)</f>
        <v>1556876.417</v>
      </c>
      <c r="J44" s="51" t="n">
        <f aca="false">ROUND(J42*J43+J42,3)</f>
        <v>1284480.086</v>
      </c>
      <c r="K44" s="52" t="n">
        <f aca="false">ROUND(K42*K43+K42,3)</f>
        <v>1168662.263</v>
      </c>
      <c r="L44" s="51" t="n">
        <f aca="false">ROUND(L42*L43+L42,3)</f>
        <v>873631.332</v>
      </c>
      <c r="M44" s="52" t="n">
        <f aca="false">ROUND(M42*M43+M42,3)</f>
        <v>789772.248</v>
      </c>
      <c r="N44" s="52" t="n">
        <v>652969.3</v>
      </c>
      <c r="O44" s="52" t="n">
        <f aca="false">ROUND(O42*O43+O42,3)</f>
        <v>414106.736</v>
      </c>
      <c r="P44" s="52" t="n">
        <f aca="false">ROUND(P42*P43+P42,3)</f>
        <v>292657.361</v>
      </c>
      <c r="Q44" s="52" t="n">
        <f aca="false">ROUND(Q42*Q43+Q42,3)</f>
        <v>1007889.642</v>
      </c>
      <c r="R44" s="52" t="n">
        <v>1861909.43</v>
      </c>
      <c r="S44" s="53" t="n">
        <f aca="false">ROUND(S42*S43+S42,3)</f>
        <v>855497.579</v>
      </c>
      <c r="T44" s="51" t="n">
        <f aca="false">ROUND(T42*T43+T42,3)</f>
        <v>2903469.455</v>
      </c>
      <c r="U44" s="51" t="n">
        <f aca="false">ROUND(U42*U43+U42,3)</f>
        <v>3756467.286</v>
      </c>
      <c r="V44" s="51" t="n">
        <f aca="false">ROUND(V42*V43+V42,3)</f>
        <v>3390689.552</v>
      </c>
      <c r="W44" s="51" t="n">
        <f aca="false">ROUND(W42*W43+W42,3)</f>
        <v>3168814.946</v>
      </c>
      <c r="X44" s="51" t="n">
        <f aca="false">ROUND(X42*X43+X42,3)</f>
        <v>3526898.382</v>
      </c>
      <c r="Y44" s="51" t="n">
        <f aca="false">ROUND(Y42*Y43+Y42,3)</f>
        <v>3314919.02</v>
      </c>
      <c r="Z44" s="51" t="n">
        <f aca="false">ROUND(Z42*Z43+Z42,3)+0.01</f>
        <v>2663247.705</v>
      </c>
      <c r="AA44" s="50"/>
      <c r="AB44" s="50"/>
      <c r="AC44" s="50"/>
      <c r="AE44" s="38" t="n">
        <f aca="false">SUM(C44:Z44)</f>
        <v>37580129.9105</v>
      </c>
    </row>
    <row r="45" customFormat="false" ht="18.75" hidden="false" customHeight="false" outlineLevel="0" collapsed="false">
      <c r="A45" s="54" t="s">
        <v>66</v>
      </c>
      <c r="B45" s="54"/>
      <c r="C45" s="55" t="n">
        <v>0.02769</v>
      </c>
      <c r="D45" s="55" t="n">
        <v>0.02769</v>
      </c>
      <c r="E45" s="55" t="n">
        <v>0.02769</v>
      </c>
      <c r="F45" s="55" t="n">
        <v>0.02769</v>
      </c>
      <c r="G45" s="55" t="n">
        <v>0.02769</v>
      </c>
      <c r="H45" s="55" t="n">
        <v>0.02769</v>
      </c>
      <c r="I45" s="55" t="n">
        <v>0.02769</v>
      </c>
      <c r="J45" s="55" t="n">
        <v>0.02769</v>
      </c>
      <c r="K45" s="55" t="n">
        <v>0.02769</v>
      </c>
      <c r="L45" s="55" t="n">
        <v>0.02769</v>
      </c>
      <c r="M45" s="56" t="n">
        <v>0.02769</v>
      </c>
      <c r="N45" s="56" t="n">
        <v>0.02769</v>
      </c>
      <c r="O45" s="56" t="n">
        <v>0.02769</v>
      </c>
      <c r="P45" s="56" t="n">
        <v>0.02769</v>
      </c>
      <c r="Q45" s="56" t="n">
        <v>0.02769</v>
      </c>
      <c r="R45" s="56" t="n">
        <v>0.02769</v>
      </c>
      <c r="S45" s="57" t="n">
        <v>0.02769</v>
      </c>
      <c r="T45" s="55" t="n">
        <v>0.02769</v>
      </c>
      <c r="U45" s="55" t="n">
        <v>0.02769</v>
      </c>
      <c r="V45" s="55" t="n">
        <v>0.02769</v>
      </c>
      <c r="W45" s="55" t="n">
        <v>0.02769</v>
      </c>
      <c r="X45" s="55" t="n">
        <v>0.02769</v>
      </c>
      <c r="Y45" s="55" t="n">
        <v>0.02769</v>
      </c>
      <c r="Z45" s="55" t="n">
        <v>0.02769</v>
      </c>
      <c r="AE45" s="22"/>
    </row>
    <row r="46" customFormat="false" ht="30" hidden="false" customHeight="true" outlineLevel="0" collapsed="false">
      <c r="A46" s="54" t="s">
        <v>67</v>
      </c>
      <c r="B46" s="54"/>
      <c r="C46" s="51" t="n">
        <v>0</v>
      </c>
      <c r="D46" s="51" t="n">
        <v>0</v>
      </c>
      <c r="E46" s="51" t="n">
        <v>0</v>
      </c>
      <c r="F46" s="51" t="n">
        <v>0</v>
      </c>
      <c r="G46" s="51" t="n">
        <v>0</v>
      </c>
      <c r="H46" s="51" t="n">
        <v>0</v>
      </c>
      <c r="I46" s="51" t="n">
        <v>0</v>
      </c>
      <c r="J46" s="51" t="n">
        <v>0</v>
      </c>
      <c r="K46" s="51" t="n">
        <v>0</v>
      </c>
      <c r="L46" s="51" t="n">
        <v>0</v>
      </c>
      <c r="M46" s="51" t="n">
        <v>0</v>
      </c>
      <c r="N46" s="52" t="n">
        <v>671050.01580624</v>
      </c>
      <c r="O46" s="52" t="n">
        <f aca="false">(O44*O45)+O44</f>
        <v>425573.35151984</v>
      </c>
      <c r="P46" s="52" t="n">
        <f aca="false">(P44*P45)+P44</f>
        <v>300761.04332609</v>
      </c>
      <c r="Q46" s="52" t="n">
        <f aca="false">(Q44*Q45)+Q44</f>
        <v>1035798.10618698</v>
      </c>
      <c r="R46" s="52" t="n">
        <v>1913465.7021167</v>
      </c>
      <c r="S46" s="53" t="n">
        <f aca="false">(S44*S45)+S44</f>
        <v>879186.30696251</v>
      </c>
      <c r="T46" s="51" t="n">
        <f aca="false">(T44*T45)+T44</f>
        <v>2983866.52420895</v>
      </c>
      <c r="U46" s="51" t="n">
        <f aca="false">(U44*U45)+U44</f>
        <v>3860483.86514934</v>
      </c>
      <c r="V46" s="51" t="n">
        <f aca="false">(V44*V45)+V44</f>
        <v>3484577.74569488</v>
      </c>
      <c r="W46" s="51" t="n">
        <f aca="false">(W44*W45)+W44</f>
        <v>3256559.43185474</v>
      </c>
      <c r="X46" s="51" t="n">
        <f aca="false">(X44*X45)+X44</f>
        <v>3624558.19819758</v>
      </c>
      <c r="Y46" s="51" t="n">
        <f aca="false">(Y44*Y45)+Y44</f>
        <v>3406709.1276638</v>
      </c>
      <c r="Z46" s="51" t="n">
        <f aca="false">(Z44*Z45)+Z44</f>
        <v>2736993.03395145</v>
      </c>
    </row>
    <row r="47" customFormat="false" ht="18.75" hidden="false" customHeight="false" outlineLevel="0" collapsed="false">
      <c r="A47" s="54" t="s">
        <v>68</v>
      </c>
      <c r="B47" s="54"/>
      <c r="C47" s="55" t="n">
        <v>0.0447</v>
      </c>
      <c r="D47" s="55" t="n">
        <v>0.0447</v>
      </c>
      <c r="E47" s="55" t="n">
        <v>0.0447</v>
      </c>
      <c r="F47" s="55" t="n">
        <v>0.0447</v>
      </c>
      <c r="G47" s="55" t="n">
        <v>0.0447</v>
      </c>
      <c r="H47" s="55" t="n">
        <v>0.0447</v>
      </c>
      <c r="I47" s="55" t="n">
        <v>0.0447</v>
      </c>
      <c r="J47" s="55" t="n">
        <v>0.0447</v>
      </c>
      <c r="K47" s="55" t="n">
        <v>0.0447</v>
      </c>
      <c r="L47" s="55" t="n">
        <v>0.0447</v>
      </c>
      <c r="M47" s="56" t="n">
        <v>0.0447</v>
      </c>
      <c r="N47" s="56" t="n">
        <v>0.0447</v>
      </c>
      <c r="O47" s="56" t="n">
        <v>0.0447</v>
      </c>
      <c r="P47" s="56" t="n">
        <v>0.0447</v>
      </c>
      <c r="Q47" s="56" t="n">
        <v>0.0447</v>
      </c>
      <c r="R47" s="56" t="n">
        <v>0.0447</v>
      </c>
      <c r="S47" s="57" t="n">
        <v>0.0447</v>
      </c>
      <c r="T47" s="55" t="n">
        <v>0.0447</v>
      </c>
      <c r="U47" s="55" t="n">
        <v>0.0447</v>
      </c>
      <c r="V47" s="55" t="n">
        <v>0.0447</v>
      </c>
      <c r="W47" s="55" t="n">
        <v>0.0447</v>
      </c>
      <c r="X47" s="55" t="n">
        <v>0.0447</v>
      </c>
      <c r="Y47" s="55" t="n">
        <v>0.0447</v>
      </c>
      <c r="Z47" s="55" t="n">
        <v>0.0447</v>
      </c>
    </row>
    <row r="48" customFormat="false" ht="30" hidden="false" customHeight="true" outlineLevel="0" collapsed="false">
      <c r="A48" s="58" t="s">
        <v>69</v>
      </c>
      <c r="B48" s="58"/>
      <c r="C48" s="51" t="n">
        <v>0</v>
      </c>
      <c r="D48" s="51" t="n">
        <v>0</v>
      </c>
      <c r="E48" s="51" t="n">
        <v>0</v>
      </c>
      <c r="F48" s="51" t="n">
        <v>0</v>
      </c>
      <c r="G48" s="51" t="n">
        <v>0</v>
      </c>
      <c r="H48" s="51" t="n">
        <v>0</v>
      </c>
      <c r="I48" s="51" t="n">
        <v>0</v>
      </c>
      <c r="J48" s="51" t="n">
        <v>0</v>
      </c>
      <c r="K48" s="51" t="n">
        <v>0</v>
      </c>
      <c r="L48" s="51" t="n">
        <v>0</v>
      </c>
      <c r="M48" s="51" t="n">
        <v>0</v>
      </c>
      <c r="N48" s="52" t="n">
        <v>701045.961512779</v>
      </c>
      <c r="O48" s="52" t="n">
        <f aca="false">(O46*O47)+O46+0.01</f>
        <v>444596.490332777</v>
      </c>
      <c r="P48" s="52" t="n">
        <f aca="false">(P46*P47)+P46</f>
        <v>314205.061962766</v>
      </c>
      <c r="Q48" s="52" t="n">
        <f aca="false">(Q46*Q47)+Q46</f>
        <v>1082098.28153354</v>
      </c>
      <c r="R48" s="52" t="n">
        <v>1998997.61900132</v>
      </c>
      <c r="S48" s="53" t="n">
        <f aca="false">(S46*S47)+S46</f>
        <v>918485.934883734</v>
      </c>
      <c r="T48" s="52" t="n">
        <f aca="false">(T46*T47)+T46</f>
        <v>3117245.35784109</v>
      </c>
      <c r="U48" s="52" t="n">
        <f aca="false">(U46*U47)+U46</f>
        <v>4033047.49392152</v>
      </c>
      <c r="V48" s="52" t="n">
        <f aca="false">(V46*V47)+V46</f>
        <v>3640338.37092744</v>
      </c>
      <c r="W48" s="52" t="n">
        <f aca="false">(W46*W47)+W46</f>
        <v>3402127.63845865</v>
      </c>
      <c r="X48" s="52" t="n">
        <f aca="false">(X46*X47)+X46</f>
        <v>3786575.94965701</v>
      </c>
      <c r="Y48" s="52" t="n">
        <f aca="false">(Y46*Y47)+Y46</f>
        <v>3558989.02567037</v>
      </c>
      <c r="Z48" s="52" t="n">
        <f aca="false">(Z46*Z47)+Z46</f>
        <v>2859336.62256908</v>
      </c>
    </row>
    <row r="49" customFormat="false" ht="18.75" hidden="false" customHeight="false" outlineLevel="0" collapsed="false">
      <c r="A49" s="54" t="s">
        <v>70</v>
      </c>
      <c r="B49" s="54"/>
      <c r="C49" s="51" t="n">
        <v>0</v>
      </c>
      <c r="D49" s="51" t="n">
        <v>0</v>
      </c>
      <c r="E49" s="51" t="n">
        <v>0</v>
      </c>
      <c r="F49" s="51" t="n">
        <v>0</v>
      </c>
      <c r="G49" s="51" t="n">
        <v>0</v>
      </c>
      <c r="H49" s="51" t="n">
        <v>0</v>
      </c>
      <c r="I49" s="51" t="n">
        <v>0</v>
      </c>
      <c r="J49" s="51" t="n">
        <v>0</v>
      </c>
      <c r="K49" s="51" t="n">
        <v>0</v>
      </c>
      <c r="L49" s="51" t="n">
        <v>661237.62</v>
      </c>
      <c r="M49" s="52" t="n">
        <v>58149.15</v>
      </c>
      <c r="N49" s="52" t="n">
        <v>0</v>
      </c>
      <c r="O49" s="52" t="n">
        <v>0</v>
      </c>
      <c r="P49" s="52" t="n">
        <v>0</v>
      </c>
      <c r="Q49" s="52" t="n">
        <v>0</v>
      </c>
      <c r="R49" s="52" t="n">
        <v>0</v>
      </c>
      <c r="S49" s="53" t="n">
        <v>0</v>
      </c>
      <c r="T49" s="51" t="n">
        <v>0</v>
      </c>
      <c r="U49" s="51" t="n">
        <v>0</v>
      </c>
      <c r="V49" s="51" t="n">
        <v>0</v>
      </c>
      <c r="W49" s="51" t="n">
        <v>0</v>
      </c>
      <c r="X49" s="51" t="n">
        <v>0</v>
      </c>
      <c r="Y49" s="51" t="n">
        <v>0</v>
      </c>
      <c r="Z49" s="51" t="n">
        <v>0</v>
      </c>
    </row>
    <row r="50" customFormat="false" ht="18.75" hidden="false" customHeight="false" outlineLevel="0" collapsed="false">
      <c r="A50" s="54" t="s">
        <v>71</v>
      </c>
      <c r="B50" s="54"/>
      <c r="C50" s="55" t="n">
        <v>0.47208</v>
      </c>
      <c r="D50" s="55" t="n">
        <v>0.47208</v>
      </c>
      <c r="E50" s="55" t="n">
        <v>0.47208</v>
      </c>
      <c r="F50" s="55" t="n">
        <v>0.47208</v>
      </c>
      <c r="G50" s="55" t="n">
        <v>0.47208</v>
      </c>
      <c r="H50" s="55" t="n">
        <v>0.47208</v>
      </c>
      <c r="I50" s="55" t="n">
        <v>0.47208</v>
      </c>
      <c r="J50" s="55" t="n">
        <v>0.47208</v>
      </c>
      <c r="K50" s="55" t="n">
        <v>0.47208</v>
      </c>
      <c r="L50" s="55" t="n">
        <v>0.47208</v>
      </c>
      <c r="M50" s="55" t="n">
        <v>0.47208</v>
      </c>
      <c r="N50" s="55" t="n">
        <v>0.47208</v>
      </c>
      <c r="O50" s="55" t="n">
        <v>0.47208</v>
      </c>
      <c r="P50" s="55" t="n">
        <v>0.47208</v>
      </c>
      <c r="Q50" s="55" t="n">
        <v>0.47208</v>
      </c>
      <c r="R50" s="55" t="n">
        <v>0.47208</v>
      </c>
      <c r="S50" s="57" t="n">
        <v>0.47208</v>
      </c>
      <c r="T50" s="55" t="n">
        <v>0.47208</v>
      </c>
      <c r="U50" s="55" t="n">
        <v>0.47208</v>
      </c>
      <c r="V50" s="55" t="n">
        <v>0.47208</v>
      </c>
      <c r="W50" s="55" t="n">
        <v>0.47208</v>
      </c>
      <c r="X50" s="55" t="n">
        <v>0.47208</v>
      </c>
      <c r="Y50" s="55" t="n">
        <v>0.47208</v>
      </c>
      <c r="Z50" s="55" t="n">
        <v>0.47208</v>
      </c>
    </row>
    <row r="51" customFormat="false" ht="18.75" hidden="false" customHeight="false" outlineLevel="0" collapsed="false">
      <c r="A51" s="58" t="s">
        <v>72</v>
      </c>
      <c r="B51" s="58"/>
      <c r="C51" s="51" t="n">
        <v>0</v>
      </c>
      <c r="D51" s="51" t="n">
        <v>0</v>
      </c>
      <c r="E51" s="51" t="n">
        <v>0</v>
      </c>
      <c r="F51" s="51" t="n">
        <v>0</v>
      </c>
      <c r="G51" s="51" t="n">
        <v>0</v>
      </c>
      <c r="H51" s="51" t="n">
        <v>0</v>
      </c>
      <c r="I51" s="51" t="n">
        <v>0</v>
      </c>
      <c r="J51" s="51" t="n">
        <v>0</v>
      </c>
      <c r="K51" s="51" t="n">
        <v>0</v>
      </c>
      <c r="L51" s="51" t="n">
        <v>0</v>
      </c>
      <c r="M51" s="51" t="n">
        <v>0</v>
      </c>
      <c r="N51" s="52" t="n">
        <v>0</v>
      </c>
      <c r="O51" s="52" t="n">
        <v>0</v>
      </c>
      <c r="P51" s="52" t="n">
        <f aca="false">(P49*P50)+P49</f>
        <v>0</v>
      </c>
      <c r="Q51" s="52" t="n">
        <f aca="false">(Q49*Q50)+Q49</f>
        <v>0</v>
      </c>
      <c r="R51" s="52" t="n">
        <v>0</v>
      </c>
      <c r="S51" s="53" t="n">
        <f aca="false">(S48*S50)+S48-0.01</f>
        <v>1352084.76502365</v>
      </c>
      <c r="T51" s="52" t="n">
        <f aca="false">(T49*T50)+T49</f>
        <v>0</v>
      </c>
      <c r="U51" s="52" t="n">
        <f aca="false">(U49*U50)+U49</f>
        <v>0</v>
      </c>
      <c r="V51" s="52" t="n">
        <f aca="false">(V49*V50)+V49</f>
        <v>0</v>
      </c>
      <c r="W51" s="52" t="n">
        <f aca="false">(W49*W50)+W49</f>
        <v>0</v>
      </c>
      <c r="X51" s="52" t="n">
        <f aca="false">(X49*X50)+X49</f>
        <v>0</v>
      </c>
      <c r="Y51" s="52" t="n">
        <f aca="false">(Y49*Y50)+Y49</f>
        <v>0</v>
      </c>
      <c r="Z51" s="52" t="n">
        <f aca="false">(Z49*Z50)+Z49</f>
        <v>0</v>
      </c>
    </row>
    <row r="53" customFormat="false" ht="15" hidden="false" customHeight="false" outlineLevel="0" collapsed="false">
      <c r="D53" s="38"/>
    </row>
    <row r="55" customFormat="false" ht="15.75" hidden="false" customHeight="false" outlineLevel="0" collapsed="false">
      <c r="B55" s="59"/>
      <c r="C55" s="59"/>
      <c r="D55" s="59"/>
      <c r="E55" s="59"/>
      <c r="F55" s="59"/>
      <c r="G55" s="59"/>
    </row>
    <row r="56" customFormat="false" ht="15.75" hidden="false" customHeight="false" outlineLevel="0" collapsed="false">
      <c r="B56" s="59"/>
      <c r="C56" s="59"/>
      <c r="D56" s="59"/>
      <c r="E56" s="59"/>
      <c r="F56" s="59"/>
      <c r="G56" s="59"/>
      <c r="H56" s="60"/>
      <c r="I56" s="60"/>
      <c r="J56" s="60"/>
      <c r="K56" s="60"/>
      <c r="L56" s="60"/>
      <c r="M56" s="60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1"/>
      <c r="AB56" s="61"/>
      <c r="AC56" s="61"/>
      <c r="AD56" s="61"/>
      <c r="AE56" s="59"/>
      <c r="AF56" s="59"/>
      <c r="AH56" s="59"/>
      <c r="AI56" s="59"/>
    </row>
    <row r="57" customFormat="false" ht="15.75" hidden="false" customHeight="false" outlineLevel="0" collapsed="false">
      <c r="B57" s="59"/>
      <c r="C57" s="59"/>
      <c r="D57" s="59"/>
      <c r="E57" s="59"/>
      <c r="H57" s="60"/>
      <c r="I57" s="60"/>
      <c r="J57" s="60"/>
      <c r="K57" s="60"/>
      <c r="L57" s="60"/>
      <c r="M57" s="60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1"/>
      <c r="AB57" s="61"/>
      <c r="AC57" s="61"/>
      <c r="AD57" s="61"/>
      <c r="AE57" s="59"/>
      <c r="AF57" s="59"/>
      <c r="AH57" s="59"/>
      <c r="AI57" s="59"/>
    </row>
    <row r="58" customFormat="false" ht="28.5" hidden="false" customHeight="false" outlineLevel="0" collapsed="false">
      <c r="B58" s="62"/>
      <c r="C58" s="62"/>
      <c r="D58" s="62"/>
      <c r="E58" s="59"/>
      <c r="F58" s="59"/>
      <c r="G58" s="62"/>
      <c r="H58" s="62"/>
      <c r="I58" s="62"/>
      <c r="J58" s="62"/>
      <c r="K58" s="62"/>
      <c r="L58" s="62"/>
      <c r="M58" s="62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1"/>
      <c r="AB58" s="61"/>
      <c r="AC58" s="61"/>
      <c r="AD58" s="61"/>
    </row>
    <row r="59" customFormat="false" ht="28.5" hidden="false" customHeight="false" outlineLevel="0" collapsed="false">
      <c r="B59" s="62"/>
      <c r="C59" s="62"/>
      <c r="D59" s="62"/>
      <c r="E59" s="59"/>
      <c r="F59" s="59"/>
      <c r="G59" s="62"/>
      <c r="H59" s="62"/>
      <c r="I59" s="62"/>
      <c r="J59" s="62"/>
      <c r="K59" s="62"/>
      <c r="L59" s="62"/>
      <c r="M59" s="62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1"/>
      <c r="AB59" s="61"/>
      <c r="AC59" s="61"/>
      <c r="AD59" s="61"/>
      <c r="AE59" s="59"/>
      <c r="AF59" s="59"/>
    </row>
    <row r="60" customFormat="false" ht="28.5" hidden="false" customHeight="false" outlineLevel="0" collapsed="false">
      <c r="B60" s="62"/>
      <c r="C60" s="62"/>
      <c r="D60" s="62"/>
      <c r="E60" s="59"/>
      <c r="F60" s="59"/>
      <c r="G60" s="62"/>
      <c r="H60" s="62"/>
      <c r="I60" s="62"/>
      <c r="J60" s="62"/>
      <c r="K60" s="62"/>
      <c r="L60" s="62"/>
      <c r="M60" s="62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1"/>
      <c r="AB60" s="61"/>
      <c r="AC60" s="61"/>
      <c r="AD60" s="61"/>
      <c r="AE60" s="59"/>
      <c r="AF60" s="59"/>
      <c r="AJ60" s="59"/>
      <c r="AK60" s="59"/>
    </row>
    <row r="61" customFormat="false" ht="15.75" hidden="false" customHeight="false" outlineLevel="0" collapsed="false">
      <c r="H61" s="63"/>
      <c r="I61" s="63"/>
      <c r="J61" s="63"/>
      <c r="K61" s="63"/>
      <c r="L61" s="64"/>
      <c r="M61" s="60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H61" s="59"/>
      <c r="AI61" s="59"/>
    </row>
    <row r="62" customFormat="false" ht="15" hidden="false" customHeight="false" outlineLevel="0" collapsed="false">
      <c r="H62" s="65"/>
      <c r="I62" s="65"/>
      <c r="J62" s="65"/>
      <c r="K62" s="65"/>
      <c r="L62" s="65"/>
      <c r="M62" s="65"/>
    </row>
    <row r="63" customFormat="false" ht="15" hidden="false" customHeight="false" outlineLevel="0" collapsed="false">
      <c r="H63" s="65"/>
      <c r="I63" s="65"/>
      <c r="J63" s="65"/>
      <c r="K63" s="65"/>
      <c r="L63" s="65"/>
      <c r="M63" s="65"/>
    </row>
    <row r="64" customFormat="false" ht="15" hidden="false" customHeight="false" outlineLevel="0" collapsed="false">
      <c r="H64" s="65"/>
      <c r="I64" s="65"/>
      <c r="J64" s="65"/>
      <c r="K64" s="65"/>
      <c r="L64" s="65"/>
      <c r="M64" s="65"/>
    </row>
    <row r="65" customFormat="false" ht="15" hidden="false" customHeight="false" outlineLevel="0" collapsed="false">
      <c r="H65" s="65"/>
      <c r="I65" s="65"/>
      <c r="J65" s="65"/>
      <c r="K65" s="65"/>
      <c r="L65" s="65"/>
      <c r="M65" s="65"/>
    </row>
  </sheetData>
  <mergeCells count="119">
    <mergeCell ref="A2:I7"/>
    <mergeCell ref="J2:AC7"/>
    <mergeCell ref="A8:N8"/>
    <mergeCell ref="AA8:AC8"/>
    <mergeCell ref="AA9:AC9"/>
    <mergeCell ref="A10:G10"/>
    <mergeCell ref="AA10:AC10"/>
    <mergeCell ref="A12:A13"/>
    <mergeCell ref="B12:B13"/>
    <mergeCell ref="AA12:AA13"/>
    <mergeCell ref="AB12:AB13"/>
    <mergeCell ref="AC12:AC13"/>
    <mergeCell ref="AE12:AE13"/>
    <mergeCell ref="A14:A15"/>
    <mergeCell ref="B14:B15"/>
    <mergeCell ref="AA14:AA15"/>
    <mergeCell ref="AB14:AB15"/>
    <mergeCell ref="AC14:AC15"/>
    <mergeCell ref="AE14:AE15"/>
    <mergeCell ref="A16:A17"/>
    <mergeCell ref="B16:B17"/>
    <mergeCell ref="AA16:AA17"/>
    <mergeCell ref="AB16:AB17"/>
    <mergeCell ref="AC16:AC17"/>
    <mergeCell ref="AE16:AE17"/>
    <mergeCell ref="A18:A19"/>
    <mergeCell ref="B18:B19"/>
    <mergeCell ref="AA18:AA19"/>
    <mergeCell ref="AB18:AB19"/>
    <mergeCell ref="AC18:AC19"/>
    <mergeCell ref="AE18:AE19"/>
    <mergeCell ref="A20:A21"/>
    <mergeCell ref="B20:B21"/>
    <mergeCell ref="AA20:AA21"/>
    <mergeCell ref="AB20:AB21"/>
    <mergeCell ref="AC20:AC21"/>
    <mergeCell ref="AE20:AE21"/>
    <mergeCell ref="A22:A23"/>
    <mergeCell ref="B22:B23"/>
    <mergeCell ref="AA22:AA23"/>
    <mergeCell ref="AB22:AB23"/>
    <mergeCell ref="AC22:AC23"/>
    <mergeCell ref="AE22:AE23"/>
    <mergeCell ref="A24:A25"/>
    <mergeCell ref="B24:B25"/>
    <mergeCell ref="AA24:AA25"/>
    <mergeCell ref="AB24:AB25"/>
    <mergeCell ref="AC24:AC25"/>
    <mergeCell ref="AE24:AE25"/>
    <mergeCell ref="A26:A27"/>
    <mergeCell ref="B26:B27"/>
    <mergeCell ref="AA26:AA27"/>
    <mergeCell ref="AB26:AB27"/>
    <mergeCell ref="AC26:AC27"/>
    <mergeCell ref="AE26:AE27"/>
    <mergeCell ref="A28:A29"/>
    <mergeCell ref="B28:B29"/>
    <mergeCell ref="AA28:AA29"/>
    <mergeCell ref="AB28:AB29"/>
    <mergeCell ref="AC28:AC29"/>
    <mergeCell ref="AE28:AE29"/>
    <mergeCell ref="A30:A31"/>
    <mergeCell ref="B30:B31"/>
    <mergeCell ref="AA30:AA31"/>
    <mergeCell ref="AB30:AB31"/>
    <mergeCell ref="AC30:AC31"/>
    <mergeCell ref="AE30:AE31"/>
    <mergeCell ref="A32:A33"/>
    <mergeCell ref="B32:B33"/>
    <mergeCell ref="AA32:AA33"/>
    <mergeCell ref="AB32:AB33"/>
    <mergeCell ref="AC32:AC33"/>
    <mergeCell ref="AE32:AE33"/>
    <mergeCell ref="A34:A35"/>
    <mergeCell ref="B34:B35"/>
    <mergeCell ref="AA34:AA35"/>
    <mergeCell ref="AB34:AB35"/>
    <mergeCell ref="AC34:AC35"/>
    <mergeCell ref="AE34:AE35"/>
    <mergeCell ref="A36:A37"/>
    <mergeCell ref="B36:B37"/>
    <mergeCell ref="AA36:AA37"/>
    <mergeCell ref="AB36:AB37"/>
    <mergeCell ref="AC36:AC37"/>
    <mergeCell ref="AE36:AE37"/>
    <mergeCell ref="A38:A39"/>
    <mergeCell ref="B38:B39"/>
    <mergeCell ref="AA38:AA39"/>
    <mergeCell ref="AB38:AB39"/>
    <mergeCell ref="AC38:AC39"/>
    <mergeCell ref="AE38:AE39"/>
    <mergeCell ref="A40:A41"/>
    <mergeCell ref="B40:B41"/>
    <mergeCell ref="AA40:AA41"/>
    <mergeCell ref="AB40:AB41"/>
    <mergeCell ref="AC40:AC41"/>
    <mergeCell ref="AE40:AE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A56:AD56"/>
    <mergeCell ref="AA57:AD57"/>
    <mergeCell ref="B58:D58"/>
    <mergeCell ref="G58:M58"/>
    <mergeCell ref="AA58:AD58"/>
    <mergeCell ref="B59:D59"/>
    <mergeCell ref="G59:M59"/>
    <mergeCell ref="AA59:AD59"/>
    <mergeCell ref="B60:D60"/>
    <mergeCell ref="G60:M60"/>
    <mergeCell ref="AA60:AD60"/>
    <mergeCell ref="H61:K61"/>
  </mergeCells>
  <printOptions headings="false" gridLines="false" gridLinesSet="true" horizontalCentered="true" verticalCentered="true"/>
  <pageMargins left="0.196527777777778" right="0.196527777777778" top="0.590277777777778" bottom="0.551388888888889" header="0.511805555555555" footer="0.511805555555555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2020-11-25T10:47:14Z</dcterms:created>
  <dc:creator>Alexandre Pio dos Santos</dc:creator>
  <dc:description/>
  <dc:language>pt-BR</dc:language>
  <cp:lastModifiedBy/>
  <cp:lastPrinted>2022-04-26T20:22:07Z</cp:lastPrinted>
  <dcterms:modified xsi:type="dcterms:W3CDTF">2022-05-27T15:11:01Z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