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JESSICA\SOROCABA - 19.013\U.S. 19.013 -MEDIÇÃO CLIENTE\25° MEDIÇÃO ITANGUÁ - REV.00 -\PLANILHA\"/>
    </mc:Choice>
  </mc:AlternateContent>
  <xr:revisionPtr revIDLastSave="0" documentId="13_ncr:1_{B75D78FB-8061-4C9D-8F07-B912616D6297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25° MEDIÇÃO" sheetId="1" r:id="rId1"/>
    <sheet name="FATURAMENTO" sheetId="2" r:id="rId2"/>
  </sheets>
  <definedNames>
    <definedName name="_xlnm._FilterDatabase" localSheetId="0" hidden="1">'25° MEDIÇÃO'!$A$12:$N$349</definedName>
    <definedName name="_xlnm.Print_Area" localSheetId="0">'25° MEDIÇÃO'!$A$1:$N$362</definedName>
    <definedName name="_xlnm.Print_Area" localSheetId="1">FATURAMENTO!$A$1:$J$10</definedName>
    <definedName name="Excel_BuiltIn_Criteria">'25° MEDIÇÃO'!$F:$F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5" i="1" l="1"/>
  <c r="J282" i="1"/>
  <c r="J280" i="1"/>
  <c r="J279" i="1"/>
  <c r="K280" i="1"/>
  <c r="B9" i="2" l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287" i="1"/>
  <c r="G280" i="1"/>
  <c r="G281" i="1"/>
  <c r="G282" i="1"/>
  <c r="G283" i="1"/>
  <c r="G284" i="1"/>
  <c r="G285" i="1"/>
  <c r="G279" i="1"/>
  <c r="G272" i="1"/>
  <c r="G273" i="1"/>
  <c r="G274" i="1"/>
  <c r="G275" i="1"/>
  <c r="G276" i="1"/>
  <c r="G277" i="1"/>
  <c r="G271" i="1"/>
  <c r="G263" i="1"/>
  <c r="G264" i="1"/>
  <c r="G265" i="1"/>
  <c r="G266" i="1"/>
  <c r="G267" i="1"/>
  <c r="G268" i="1"/>
  <c r="G269" i="1"/>
  <c r="G262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44" i="1"/>
  <c r="G157" i="1" l="1"/>
  <c r="G111" i="1"/>
  <c r="G16" i="1"/>
  <c r="K16" i="1"/>
  <c r="P16" i="1"/>
  <c r="H16" i="1" s="1"/>
  <c r="G39" i="1"/>
  <c r="M39" i="1" s="1"/>
  <c r="I39" i="1"/>
  <c r="K39" i="1"/>
  <c r="L39" i="1"/>
  <c r="P39" i="1"/>
  <c r="G42" i="1"/>
  <c r="I42" i="1"/>
  <c r="K42" i="1"/>
  <c r="L42" i="1"/>
  <c r="P42" i="1"/>
  <c r="G54" i="1"/>
  <c r="N54" i="1" s="1"/>
  <c r="K54" i="1"/>
  <c r="P54" i="1"/>
  <c r="H54" i="1" s="1"/>
  <c r="G55" i="1"/>
  <c r="N55" i="1" s="1"/>
  <c r="K55" i="1"/>
  <c r="P55" i="1"/>
  <c r="H55" i="1" s="1"/>
  <c r="G59" i="1"/>
  <c r="K59" i="1"/>
  <c r="P59" i="1"/>
  <c r="H59" i="1" s="1"/>
  <c r="G72" i="1"/>
  <c r="K72" i="1"/>
  <c r="P72" i="1"/>
  <c r="H72" i="1" s="1"/>
  <c r="G73" i="1"/>
  <c r="K73" i="1"/>
  <c r="P73" i="1"/>
  <c r="H73" i="1" s="1"/>
  <c r="G78" i="1"/>
  <c r="K78" i="1"/>
  <c r="P78" i="1"/>
  <c r="H78" i="1" s="1"/>
  <c r="G112" i="1"/>
  <c r="K112" i="1"/>
  <c r="P112" i="1"/>
  <c r="H112" i="1" s="1"/>
  <c r="P344" i="1"/>
  <c r="K343" i="1"/>
  <c r="K344" i="1" s="1"/>
  <c r="G343" i="1"/>
  <c r="G344" i="1" s="1"/>
  <c r="P342" i="1"/>
  <c r="P340" i="1"/>
  <c r="H340" i="1" s="1"/>
  <c r="K340" i="1"/>
  <c r="K341" i="1" s="1"/>
  <c r="G340" i="1"/>
  <c r="G341" i="1" s="1"/>
  <c r="P338" i="1"/>
  <c r="P337" i="1"/>
  <c r="P336" i="1"/>
  <c r="H336" i="1" s="1"/>
  <c r="K336" i="1"/>
  <c r="G336" i="1"/>
  <c r="P335" i="1"/>
  <c r="H335" i="1" s="1"/>
  <c r="K335" i="1"/>
  <c r="G335" i="1"/>
  <c r="P334" i="1"/>
  <c r="H334" i="1" s="1"/>
  <c r="L334" i="1" s="1"/>
  <c r="K334" i="1"/>
  <c r="G334" i="1"/>
  <c r="P333" i="1"/>
  <c r="P332" i="1"/>
  <c r="P331" i="1"/>
  <c r="H331" i="1" s="1"/>
  <c r="I331" i="1" s="1"/>
  <c r="I332" i="1" s="1"/>
  <c r="K331" i="1"/>
  <c r="K332" i="1" s="1"/>
  <c r="G331" i="1"/>
  <c r="G332" i="1" s="1"/>
  <c r="P330" i="1"/>
  <c r="P329" i="1"/>
  <c r="P339" i="1" l="1"/>
  <c r="M42" i="1"/>
  <c r="L16" i="1"/>
  <c r="I16" i="1"/>
  <c r="M16" i="1" s="1"/>
  <c r="N16" i="1"/>
  <c r="L55" i="1"/>
  <c r="I55" i="1"/>
  <c r="M55" i="1" s="1"/>
  <c r="L54" i="1"/>
  <c r="I54" i="1"/>
  <c r="M54" i="1" s="1"/>
  <c r="L59" i="1"/>
  <c r="I59" i="1"/>
  <c r="M59" i="1" s="1"/>
  <c r="N59" i="1"/>
  <c r="L72" i="1"/>
  <c r="I72" i="1"/>
  <c r="M72" i="1" s="1"/>
  <c r="L73" i="1"/>
  <c r="I73" i="1"/>
  <c r="M73" i="1" s="1"/>
  <c r="N73" i="1"/>
  <c r="N72" i="1"/>
  <c r="L78" i="1"/>
  <c r="I78" i="1"/>
  <c r="M78" i="1" s="1"/>
  <c r="L112" i="1"/>
  <c r="I112" i="1"/>
  <c r="M112" i="1" s="1"/>
  <c r="K337" i="1"/>
  <c r="I334" i="1"/>
  <c r="N334" i="1" s="1"/>
  <c r="I340" i="1"/>
  <c r="I341" i="1" s="1"/>
  <c r="N341" i="1" s="1"/>
  <c r="L340" i="1"/>
  <c r="I336" i="1"/>
  <c r="N336" i="1" s="1"/>
  <c r="L336" i="1"/>
  <c r="I335" i="1"/>
  <c r="N335" i="1" s="1"/>
  <c r="L335" i="1"/>
  <c r="N332" i="1"/>
  <c r="L331" i="1"/>
  <c r="G337" i="1"/>
  <c r="N331" i="1"/>
  <c r="M331" i="1"/>
  <c r="M332" i="1" s="1"/>
  <c r="M334" i="1" l="1"/>
  <c r="M335" i="1"/>
  <c r="I337" i="1"/>
  <c r="N337" i="1" s="1"/>
  <c r="M340" i="1"/>
  <c r="M341" i="1" s="1"/>
  <c r="N340" i="1"/>
  <c r="M336" i="1"/>
  <c r="M337" i="1" l="1"/>
  <c r="P343" i="1"/>
  <c r="H343" i="1" s="1"/>
  <c r="P341" i="1"/>
  <c r="P15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40" i="1"/>
  <c r="P41" i="1"/>
  <c r="P43" i="1"/>
  <c r="P44" i="1"/>
  <c r="P45" i="1"/>
  <c r="P46" i="1"/>
  <c r="P47" i="1"/>
  <c r="P48" i="1"/>
  <c r="P49" i="1"/>
  <c r="P50" i="1"/>
  <c r="P51" i="1"/>
  <c r="P52" i="1"/>
  <c r="P53" i="1"/>
  <c r="P56" i="1"/>
  <c r="P57" i="1"/>
  <c r="P58" i="1"/>
  <c r="P60" i="1"/>
  <c r="P61" i="1"/>
  <c r="P62" i="1"/>
  <c r="P63" i="1"/>
  <c r="P64" i="1"/>
  <c r="P65" i="1"/>
  <c r="P66" i="1"/>
  <c r="P67" i="1"/>
  <c r="P68" i="1"/>
  <c r="P69" i="1"/>
  <c r="P70" i="1"/>
  <c r="P71" i="1"/>
  <c r="P74" i="1"/>
  <c r="P75" i="1"/>
  <c r="P76" i="1"/>
  <c r="P77" i="1"/>
  <c r="P79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I343" i="1" l="1"/>
  <c r="L343" i="1"/>
  <c r="P358" i="1"/>
  <c r="P359" i="1"/>
  <c r="P360" i="1"/>
  <c r="P361" i="1"/>
  <c r="P362" i="1"/>
  <c r="M343" i="1" l="1"/>
  <c r="M344" i="1" s="1"/>
  <c r="I344" i="1"/>
  <c r="N344" i="1" s="1"/>
  <c r="N343" i="1"/>
  <c r="K260" i="1"/>
  <c r="H314" i="1"/>
  <c r="H308" i="1"/>
  <c r="L308" i="1" s="1"/>
  <c r="H305" i="1"/>
  <c r="I305" i="1" s="1"/>
  <c r="L306" i="1"/>
  <c r="L307" i="1"/>
  <c r="L309" i="1"/>
  <c r="L310" i="1"/>
  <c r="L311" i="1"/>
  <c r="I309" i="1"/>
  <c r="H327" i="1" l="1"/>
  <c r="K327" i="1"/>
  <c r="G327" i="1"/>
  <c r="H326" i="1"/>
  <c r="K326" i="1"/>
  <c r="G326" i="1"/>
  <c r="H325" i="1"/>
  <c r="K325" i="1"/>
  <c r="G325" i="1"/>
  <c r="H322" i="1"/>
  <c r="L322" i="1" s="1"/>
  <c r="K322" i="1"/>
  <c r="G322" i="1"/>
  <c r="H321" i="1"/>
  <c r="L321" i="1" s="1"/>
  <c r="K321" i="1"/>
  <c r="G321" i="1"/>
  <c r="H320" i="1"/>
  <c r="L320" i="1" s="1"/>
  <c r="K320" i="1"/>
  <c r="G320" i="1"/>
  <c r="H319" i="1"/>
  <c r="K319" i="1"/>
  <c r="G319" i="1"/>
  <c r="L316" i="1"/>
  <c r="K316" i="1"/>
  <c r="I316" i="1"/>
  <c r="G316" i="1"/>
  <c r="L315" i="1"/>
  <c r="K315" i="1"/>
  <c r="I315" i="1"/>
  <c r="G315" i="1"/>
  <c r="L314" i="1"/>
  <c r="K314" i="1"/>
  <c r="I314" i="1"/>
  <c r="I317" i="1" s="1"/>
  <c r="G314" i="1"/>
  <c r="K311" i="1"/>
  <c r="I311" i="1"/>
  <c r="G311" i="1"/>
  <c r="K310" i="1"/>
  <c r="I310" i="1"/>
  <c r="G310" i="1"/>
  <c r="K309" i="1"/>
  <c r="G309" i="1"/>
  <c r="K308" i="1"/>
  <c r="I308" i="1"/>
  <c r="G308" i="1"/>
  <c r="K307" i="1"/>
  <c r="I307" i="1"/>
  <c r="G307" i="1"/>
  <c r="K306" i="1"/>
  <c r="I306" i="1"/>
  <c r="G306" i="1"/>
  <c r="L305" i="1"/>
  <c r="K305" i="1"/>
  <c r="G305" i="1"/>
  <c r="N302" i="1"/>
  <c r="H301" i="1"/>
  <c r="L301" i="1" s="1"/>
  <c r="K301" i="1"/>
  <c r="G301" i="1"/>
  <c r="H300" i="1"/>
  <c r="L300" i="1" s="1"/>
  <c r="K300" i="1"/>
  <c r="H299" i="1"/>
  <c r="K299" i="1"/>
  <c r="H298" i="1"/>
  <c r="L298" i="1" s="1"/>
  <c r="K298" i="1"/>
  <c r="H297" i="1"/>
  <c r="L297" i="1" s="1"/>
  <c r="K297" i="1"/>
  <c r="H296" i="1"/>
  <c r="L296" i="1" s="1"/>
  <c r="K296" i="1"/>
  <c r="H295" i="1"/>
  <c r="K295" i="1"/>
  <c r="H294" i="1"/>
  <c r="L294" i="1" s="1"/>
  <c r="K294" i="1"/>
  <c r="H293" i="1"/>
  <c r="L293" i="1" s="1"/>
  <c r="K293" i="1"/>
  <c r="H292" i="1"/>
  <c r="L292" i="1" s="1"/>
  <c r="K292" i="1"/>
  <c r="H291" i="1"/>
  <c r="K291" i="1"/>
  <c r="H290" i="1"/>
  <c r="L290" i="1" s="1"/>
  <c r="K290" i="1"/>
  <c r="H289" i="1"/>
  <c r="L289" i="1" s="1"/>
  <c r="K289" i="1"/>
  <c r="H288" i="1"/>
  <c r="L288" i="1" s="1"/>
  <c r="K288" i="1"/>
  <c r="H287" i="1"/>
  <c r="L287" i="1" s="1"/>
  <c r="K287" i="1"/>
  <c r="K286" i="1"/>
  <c r="I286" i="1"/>
  <c r="M286" i="1" s="1"/>
  <c r="H285" i="1"/>
  <c r="L285" i="1" s="1"/>
  <c r="K285" i="1"/>
  <c r="H284" i="1"/>
  <c r="L284" i="1" s="1"/>
  <c r="K284" i="1"/>
  <c r="H283" i="1"/>
  <c r="L283" i="1" s="1"/>
  <c r="H282" i="1"/>
  <c r="L282" i="1" s="1"/>
  <c r="K282" i="1"/>
  <c r="H281" i="1"/>
  <c r="I281" i="1" s="1"/>
  <c r="K281" i="1"/>
  <c r="H280" i="1"/>
  <c r="L280" i="1" s="1"/>
  <c r="K279" i="1"/>
  <c r="H279" i="1"/>
  <c r="I279" i="1" s="1"/>
  <c r="K278" i="1"/>
  <c r="I278" i="1"/>
  <c r="M278" i="1" s="1"/>
  <c r="H277" i="1"/>
  <c r="K277" i="1"/>
  <c r="H276" i="1"/>
  <c r="K276" i="1"/>
  <c r="H275" i="1"/>
  <c r="K275" i="1"/>
  <c r="H274" i="1"/>
  <c r="K274" i="1"/>
  <c r="H273" i="1"/>
  <c r="K273" i="1"/>
  <c r="H272" i="1"/>
  <c r="K272" i="1"/>
  <c r="H271" i="1"/>
  <c r="K271" i="1"/>
  <c r="K270" i="1"/>
  <c r="I270" i="1"/>
  <c r="M270" i="1" s="1"/>
  <c r="H269" i="1"/>
  <c r="K269" i="1"/>
  <c r="H268" i="1"/>
  <c r="K268" i="1"/>
  <c r="H267" i="1"/>
  <c r="I267" i="1" s="1"/>
  <c r="K267" i="1"/>
  <c r="H266" i="1"/>
  <c r="I266" i="1" s="1"/>
  <c r="K266" i="1"/>
  <c r="H265" i="1"/>
  <c r="I265" i="1" s="1"/>
  <c r="K265" i="1"/>
  <c r="H264" i="1"/>
  <c r="I264" i="1" s="1"/>
  <c r="K264" i="1"/>
  <c r="H263" i="1"/>
  <c r="I263" i="1" s="1"/>
  <c r="K263" i="1"/>
  <c r="H262" i="1"/>
  <c r="I262" i="1" s="1"/>
  <c r="K262" i="1"/>
  <c r="K261" i="1"/>
  <c r="I261" i="1"/>
  <c r="M261" i="1" s="1"/>
  <c r="H259" i="1"/>
  <c r="I259" i="1" s="1"/>
  <c r="K259" i="1"/>
  <c r="H258" i="1"/>
  <c r="I258" i="1" s="1"/>
  <c r="K258" i="1"/>
  <c r="K257" i="1"/>
  <c r="H257" i="1"/>
  <c r="I257" i="1" s="1"/>
  <c r="H256" i="1"/>
  <c r="I256" i="1" s="1"/>
  <c r="K256" i="1"/>
  <c r="H255" i="1"/>
  <c r="K255" i="1"/>
  <c r="H254" i="1"/>
  <c r="I254" i="1" s="1"/>
  <c r="K254" i="1"/>
  <c r="H253" i="1"/>
  <c r="I253" i="1" s="1"/>
  <c r="K253" i="1"/>
  <c r="H252" i="1"/>
  <c r="I252" i="1" s="1"/>
  <c r="K252" i="1"/>
  <c r="H251" i="1"/>
  <c r="K251" i="1"/>
  <c r="H250" i="1"/>
  <c r="I250" i="1" s="1"/>
  <c r="K250" i="1"/>
  <c r="H249" i="1"/>
  <c r="K249" i="1"/>
  <c r="H248" i="1"/>
  <c r="I248" i="1" s="1"/>
  <c r="K248" i="1"/>
  <c r="H247" i="1"/>
  <c r="K247" i="1"/>
  <c r="H246" i="1"/>
  <c r="I246" i="1" s="1"/>
  <c r="K246" i="1"/>
  <c r="H245" i="1"/>
  <c r="I245" i="1" s="1"/>
  <c r="K245" i="1"/>
  <c r="H244" i="1"/>
  <c r="I244" i="1" s="1"/>
  <c r="K244" i="1"/>
  <c r="K240" i="1"/>
  <c r="H240" i="1"/>
  <c r="I240" i="1" s="1"/>
  <c r="G240" i="1"/>
  <c r="H239" i="1"/>
  <c r="K239" i="1"/>
  <c r="G239" i="1"/>
  <c r="H238" i="1"/>
  <c r="K238" i="1"/>
  <c r="G238" i="1"/>
  <c r="H237" i="1"/>
  <c r="I237" i="1" s="1"/>
  <c r="K237" i="1"/>
  <c r="G237" i="1"/>
  <c r="H236" i="1"/>
  <c r="K236" i="1"/>
  <c r="G236" i="1"/>
  <c r="H235" i="1"/>
  <c r="K235" i="1"/>
  <c r="G235" i="1"/>
  <c r="H234" i="1"/>
  <c r="K234" i="1"/>
  <c r="G234" i="1"/>
  <c r="H233" i="1"/>
  <c r="K233" i="1"/>
  <c r="G233" i="1"/>
  <c r="H232" i="1"/>
  <c r="K232" i="1"/>
  <c r="G232" i="1"/>
  <c r="H229" i="1"/>
  <c r="I229" i="1" s="1"/>
  <c r="K229" i="1"/>
  <c r="G229" i="1"/>
  <c r="H228" i="1"/>
  <c r="I228" i="1" s="1"/>
  <c r="K228" i="1"/>
  <c r="G228" i="1"/>
  <c r="K227" i="1"/>
  <c r="I227" i="1"/>
  <c r="M227" i="1" s="1"/>
  <c r="H226" i="1"/>
  <c r="I226" i="1" s="1"/>
  <c r="K226" i="1"/>
  <c r="G226" i="1"/>
  <c r="K225" i="1"/>
  <c r="H225" i="1"/>
  <c r="I225" i="1" s="1"/>
  <c r="G225" i="1"/>
  <c r="H224" i="1"/>
  <c r="I224" i="1" s="1"/>
  <c r="K224" i="1"/>
  <c r="G224" i="1"/>
  <c r="H223" i="1"/>
  <c r="I223" i="1" s="1"/>
  <c r="K223" i="1"/>
  <c r="G223" i="1"/>
  <c r="H222" i="1"/>
  <c r="I222" i="1" s="1"/>
  <c r="K222" i="1"/>
  <c r="G222" i="1"/>
  <c r="H221" i="1"/>
  <c r="I221" i="1" s="1"/>
  <c r="K221" i="1"/>
  <c r="G221" i="1"/>
  <c r="H220" i="1"/>
  <c r="I220" i="1" s="1"/>
  <c r="K220" i="1"/>
  <c r="G220" i="1"/>
  <c r="H219" i="1"/>
  <c r="I219" i="1" s="1"/>
  <c r="K219" i="1"/>
  <c r="G219" i="1"/>
  <c r="H218" i="1"/>
  <c r="I218" i="1" s="1"/>
  <c r="K218" i="1"/>
  <c r="G218" i="1"/>
  <c r="H217" i="1"/>
  <c r="I217" i="1" s="1"/>
  <c r="K217" i="1"/>
  <c r="G217" i="1"/>
  <c r="H216" i="1"/>
  <c r="I216" i="1" s="1"/>
  <c r="K216" i="1"/>
  <c r="G216" i="1"/>
  <c r="H215" i="1"/>
  <c r="I215" i="1" s="1"/>
  <c r="K215" i="1"/>
  <c r="G215" i="1"/>
  <c r="K214" i="1"/>
  <c r="K212" i="1"/>
  <c r="H212" i="1"/>
  <c r="I212" i="1" s="1"/>
  <c r="G212" i="1"/>
  <c r="H211" i="1"/>
  <c r="I211" i="1" s="1"/>
  <c r="K211" i="1"/>
  <c r="G211" i="1"/>
  <c r="H210" i="1"/>
  <c r="I210" i="1" s="1"/>
  <c r="K210" i="1"/>
  <c r="G210" i="1"/>
  <c r="H209" i="1"/>
  <c r="I209" i="1" s="1"/>
  <c r="K209" i="1"/>
  <c r="G209" i="1"/>
  <c r="H208" i="1"/>
  <c r="I208" i="1" s="1"/>
  <c r="K208" i="1"/>
  <c r="G208" i="1"/>
  <c r="H207" i="1"/>
  <c r="I207" i="1" s="1"/>
  <c r="K207" i="1"/>
  <c r="G207" i="1"/>
  <c r="K206" i="1"/>
  <c r="H206" i="1"/>
  <c r="I206" i="1" s="1"/>
  <c r="G206" i="1"/>
  <c r="K205" i="1"/>
  <c r="I205" i="1"/>
  <c r="M205" i="1" s="1"/>
  <c r="K204" i="1"/>
  <c r="H204" i="1"/>
  <c r="I204" i="1" s="1"/>
  <c r="G204" i="1"/>
  <c r="H203" i="1"/>
  <c r="I203" i="1" s="1"/>
  <c r="K203" i="1"/>
  <c r="G203" i="1"/>
  <c r="H202" i="1"/>
  <c r="I202" i="1" s="1"/>
  <c r="K202" i="1"/>
  <c r="G202" i="1"/>
  <c r="H201" i="1"/>
  <c r="L201" i="1" s="1"/>
  <c r="K201" i="1"/>
  <c r="G201" i="1"/>
  <c r="H200" i="1"/>
  <c r="K200" i="1"/>
  <c r="G200" i="1"/>
  <c r="K199" i="1"/>
  <c r="H199" i="1"/>
  <c r="L199" i="1" s="1"/>
  <c r="G199" i="1"/>
  <c r="H198" i="1"/>
  <c r="K198" i="1"/>
  <c r="G198" i="1"/>
  <c r="H197" i="1"/>
  <c r="K197" i="1"/>
  <c r="G197" i="1"/>
  <c r="H196" i="1"/>
  <c r="K196" i="1"/>
  <c r="G196" i="1"/>
  <c r="H195" i="1"/>
  <c r="K195" i="1"/>
  <c r="G195" i="1"/>
  <c r="H194" i="1"/>
  <c r="L194" i="1" s="1"/>
  <c r="K194" i="1"/>
  <c r="G194" i="1"/>
  <c r="K193" i="1"/>
  <c r="I193" i="1"/>
  <c r="M193" i="1" s="1"/>
  <c r="H192" i="1"/>
  <c r="K192" i="1"/>
  <c r="G192" i="1"/>
  <c r="H191" i="1"/>
  <c r="K191" i="1"/>
  <c r="G191" i="1"/>
  <c r="H190" i="1"/>
  <c r="K190" i="1"/>
  <c r="G190" i="1"/>
  <c r="H189" i="1"/>
  <c r="K189" i="1"/>
  <c r="G189" i="1"/>
  <c r="H188" i="1"/>
  <c r="K188" i="1"/>
  <c r="G188" i="1"/>
  <c r="H184" i="1"/>
  <c r="K184" i="1"/>
  <c r="G184" i="1"/>
  <c r="V183" i="1"/>
  <c r="P183" i="1" s="1"/>
  <c r="L183" i="1"/>
  <c r="K183" i="1"/>
  <c r="I183" i="1"/>
  <c r="G183" i="1"/>
  <c r="H182" i="1"/>
  <c r="L182" i="1" s="1"/>
  <c r="K182" i="1"/>
  <c r="G182" i="1"/>
  <c r="H181" i="1"/>
  <c r="L181" i="1" s="1"/>
  <c r="K181" i="1"/>
  <c r="G181" i="1"/>
  <c r="H180" i="1"/>
  <c r="K180" i="1"/>
  <c r="G180" i="1"/>
  <c r="H179" i="1"/>
  <c r="K179" i="1"/>
  <c r="G179" i="1"/>
  <c r="H178" i="1"/>
  <c r="K178" i="1"/>
  <c r="G178" i="1"/>
  <c r="H177" i="1"/>
  <c r="K177" i="1"/>
  <c r="G177" i="1"/>
  <c r="H176" i="1"/>
  <c r="K176" i="1"/>
  <c r="G176" i="1"/>
  <c r="L175" i="1"/>
  <c r="K175" i="1"/>
  <c r="I175" i="1"/>
  <c r="G175" i="1"/>
  <c r="L174" i="1"/>
  <c r="K174" i="1"/>
  <c r="I174" i="1"/>
  <c r="G174" i="1"/>
  <c r="H173" i="1"/>
  <c r="K173" i="1"/>
  <c r="G173" i="1"/>
  <c r="H170" i="1"/>
  <c r="I170" i="1" s="1"/>
  <c r="K170" i="1"/>
  <c r="G170" i="1"/>
  <c r="H169" i="1"/>
  <c r="I169" i="1" s="1"/>
  <c r="K169" i="1"/>
  <c r="G169" i="1"/>
  <c r="L168" i="1"/>
  <c r="K168" i="1"/>
  <c r="I168" i="1"/>
  <c r="G168" i="1"/>
  <c r="H167" i="1"/>
  <c r="K167" i="1"/>
  <c r="G167" i="1"/>
  <c r="H166" i="1"/>
  <c r="K166" i="1"/>
  <c r="G166" i="1"/>
  <c r="H165" i="1"/>
  <c r="L165" i="1" s="1"/>
  <c r="K165" i="1"/>
  <c r="G165" i="1"/>
  <c r="H164" i="1"/>
  <c r="L164" i="1" s="1"/>
  <c r="K164" i="1"/>
  <c r="G164" i="1"/>
  <c r="K163" i="1"/>
  <c r="H163" i="1"/>
  <c r="L163" i="1" s="1"/>
  <c r="G163" i="1"/>
  <c r="K162" i="1"/>
  <c r="H162" i="1"/>
  <c r="L162" i="1" s="1"/>
  <c r="G162" i="1"/>
  <c r="K161" i="1"/>
  <c r="H161" i="1"/>
  <c r="L161" i="1" s="1"/>
  <c r="G161" i="1"/>
  <c r="K160" i="1"/>
  <c r="H160" i="1"/>
  <c r="L160" i="1" s="1"/>
  <c r="G160" i="1"/>
  <c r="K159" i="1"/>
  <c r="H159" i="1"/>
  <c r="L159" i="1" s="1"/>
  <c r="G159" i="1"/>
  <c r="K158" i="1"/>
  <c r="H158" i="1"/>
  <c r="L158" i="1" s="1"/>
  <c r="G158" i="1"/>
  <c r="H157" i="1"/>
  <c r="K157" i="1"/>
  <c r="L156" i="1"/>
  <c r="K156" i="1"/>
  <c r="I156" i="1"/>
  <c r="G156" i="1"/>
  <c r="L155" i="1"/>
  <c r="K155" i="1"/>
  <c r="I155" i="1"/>
  <c r="G155" i="1"/>
  <c r="H154" i="1"/>
  <c r="L154" i="1" s="1"/>
  <c r="K154" i="1"/>
  <c r="G154" i="1"/>
  <c r="L153" i="1"/>
  <c r="K153" i="1"/>
  <c r="I153" i="1"/>
  <c r="G153" i="1"/>
  <c r="H152" i="1"/>
  <c r="I152" i="1" s="1"/>
  <c r="K152" i="1"/>
  <c r="G152" i="1"/>
  <c r="H149" i="1"/>
  <c r="K149" i="1"/>
  <c r="G149" i="1"/>
  <c r="H148" i="1"/>
  <c r="K148" i="1"/>
  <c r="G148" i="1"/>
  <c r="H147" i="1"/>
  <c r="K147" i="1"/>
  <c r="G147" i="1"/>
  <c r="H146" i="1"/>
  <c r="K146" i="1"/>
  <c r="G146" i="1"/>
  <c r="H145" i="1"/>
  <c r="L145" i="1" s="1"/>
  <c r="K145" i="1"/>
  <c r="G145" i="1"/>
  <c r="H144" i="1"/>
  <c r="L144" i="1" s="1"/>
  <c r="K144" i="1"/>
  <c r="G144" i="1"/>
  <c r="H143" i="1"/>
  <c r="L143" i="1" s="1"/>
  <c r="K143" i="1"/>
  <c r="G143" i="1"/>
  <c r="H142" i="1"/>
  <c r="L142" i="1" s="1"/>
  <c r="K142" i="1"/>
  <c r="G142" i="1"/>
  <c r="H141" i="1"/>
  <c r="L141" i="1" s="1"/>
  <c r="K141" i="1"/>
  <c r="G141" i="1"/>
  <c r="H140" i="1"/>
  <c r="L140" i="1" s="1"/>
  <c r="K140" i="1"/>
  <c r="G140" i="1"/>
  <c r="H139" i="1"/>
  <c r="L139" i="1" s="1"/>
  <c r="K139" i="1"/>
  <c r="G139" i="1"/>
  <c r="H138" i="1"/>
  <c r="L138" i="1" s="1"/>
  <c r="K138" i="1"/>
  <c r="G138" i="1"/>
  <c r="H137" i="1"/>
  <c r="L137" i="1" s="1"/>
  <c r="K137" i="1"/>
  <c r="G137" i="1"/>
  <c r="H136" i="1"/>
  <c r="L136" i="1" s="1"/>
  <c r="K136" i="1"/>
  <c r="G136" i="1"/>
  <c r="H135" i="1"/>
  <c r="L135" i="1" s="1"/>
  <c r="K135" i="1"/>
  <c r="G135" i="1"/>
  <c r="H134" i="1"/>
  <c r="L134" i="1" s="1"/>
  <c r="K134" i="1"/>
  <c r="G134" i="1"/>
  <c r="H133" i="1"/>
  <c r="L133" i="1" s="1"/>
  <c r="K133" i="1"/>
  <c r="G133" i="1"/>
  <c r="H132" i="1"/>
  <c r="L132" i="1" s="1"/>
  <c r="K132" i="1"/>
  <c r="G132" i="1"/>
  <c r="H131" i="1"/>
  <c r="L131" i="1" s="1"/>
  <c r="K131" i="1"/>
  <c r="G131" i="1"/>
  <c r="H130" i="1"/>
  <c r="L130" i="1" s="1"/>
  <c r="K130" i="1"/>
  <c r="G130" i="1"/>
  <c r="H129" i="1"/>
  <c r="L129" i="1" s="1"/>
  <c r="K129" i="1"/>
  <c r="G129" i="1"/>
  <c r="H128" i="1"/>
  <c r="L128" i="1" s="1"/>
  <c r="K128" i="1"/>
  <c r="G128" i="1"/>
  <c r="H127" i="1"/>
  <c r="L127" i="1" s="1"/>
  <c r="K127" i="1"/>
  <c r="G127" i="1"/>
  <c r="H126" i="1"/>
  <c r="I126" i="1" s="1"/>
  <c r="K126" i="1"/>
  <c r="G126" i="1"/>
  <c r="H125" i="1"/>
  <c r="L125" i="1" s="1"/>
  <c r="K125" i="1"/>
  <c r="G125" i="1"/>
  <c r="H124" i="1"/>
  <c r="K124" i="1"/>
  <c r="G124" i="1"/>
  <c r="H123" i="1"/>
  <c r="K123" i="1"/>
  <c r="G123" i="1"/>
  <c r="H122" i="1"/>
  <c r="K122" i="1"/>
  <c r="G122" i="1"/>
  <c r="H121" i="1"/>
  <c r="L121" i="1" s="1"/>
  <c r="K121" i="1"/>
  <c r="G121" i="1"/>
  <c r="K120" i="1"/>
  <c r="H120" i="1"/>
  <c r="L120" i="1" s="1"/>
  <c r="G120" i="1"/>
  <c r="H119" i="1"/>
  <c r="K119" i="1"/>
  <c r="G119" i="1"/>
  <c r="H118" i="1"/>
  <c r="L118" i="1" s="1"/>
  <c r="K118" i="1"/>
  <c r="G118" i="1"/>
  <c r="H117" i="1"/>
  <c r="K117" i="1"/>
  <c r="G117" i="1"/>
  <c r="H116" i="1"/>
  <c r="K116" i="1"/>
  <c r="G116" i="1"/>
  <c r="H115" i="1"/>
  <c r="K115" i="1"/>
  <c r="G115" i="1"/>
  <c r="H114" i="1"/>
  <c r="K114" i="1"/>
  <c r="G114" i="1"/>
  <c r="H113" i="1"/>
  <c r="L113" i="1" s="1"/>
  <c r="K113" i="1"/>
  <c r="G113" i="1"/>
  <c r="H111" i="1"/>
  <c r="K111" i="1"/>
  <c r="H110" i="1"/>
  <c r="K110" i="1"/>
  <c r="G110" i="1"/>
  <c r="H107" i="1"/>
  <c r="L107" i="1" s="1"/>
  <c r="K107" i="1"/>
  <c r="G107" i="1"/>
  <c r="K106" i="1"/>
  <c r="H106" i="1"/>
  <c r="L106" i="1" s="1"/>
  <c r="G106" i="1"/>
  <c r="H105" i="1"/>
  <c r="L105" i="1" s="1"/>
  <c r="K105" i="1"/>
  <c r="G105" i="1"/>
  <c r="H104" i="1"/>
  <c r="L104" i="1" s="1"/>
  <c r="K104" i="1"/>
  <c r="G104" i="1"/>
  <c r="H103" i="1"/>
  <c r="L103" i="1" s="1"/>
  <c r="K103" i="1"/>
  <c r="G103" i="1"/>
  <c r="H102" i="1"/>
  <c r="L102" i="1" s="1"/>
  <c r="K102" i="1"/>
  <c r="G102" i="1"/>
  <c r="H101" i="1"/>
  <c r="L101" i="1" s="1"/>
  <c r="K101" i="1"/>
  <c r="G101" i="1"/>
  <c r="H100" i="1"/>
  <c r="L100" i="1" s="1"/>
  <c r="K100" i="1"/>
  <c r="G100" i="1"/>
  <c r="H99" i="1"/>
  <c r="L99" i="1" s="1"/>
  <c r="K99" i="1"/>
  <c r="G99" i="1"/>
  <c r="H98" i="1"/>
  <c r="L98" i="1" s="1"/>
  <c r="K98" i="1"/>
  <c r="G98" i="1"/>
  <c r="H97" i="1"/>
  <c r="L97" i="1" s="1"/>
  <c r="K97" i="1"/>
  <c r="G97" i="1"/>
  <c r="H96" i="1"/>
  <c r="L96" i="1" s="1"/>
  <c r="K96" i="1"/>
  <c r="G96" i="1"/>
  <c r="H95" i="1"/>
  <c r="L95" i="1" s="1"/>
  <c r="K95" i="1"/>
  <c r="G95" i="1"/>
  <c r="H94" i="1"/>
  <c r="L94" i="1" s="1"/>
  <c r="K94" i="1"/>
  <c r="G94" i="1"/>
  <c r="H93" i="1"/>
  <c r="L93" i="1" s="1"/>
  <c r="K93" i="1"/>
  <c r="G93" i="1"/>
  <c r="H92" i="1"/>
  <c r="L92" i="1" s="1"/>
  <c r="K92" i="1"/>
  <c r="G92" i="1"/>
  <c r="H91" i="1"/>
  <c r="L91" i="1" s="1"/>
  <c r="K91" i="1"/>
  <c r="G91" i="1"/>
  <c r="H90" i="1"/>
  <c r="L90" i="1" s="1"/>
  <c r="K90" i="1"/>
  <c r="G90" i="1"/>
  <c r="H89" i="1"/>
  <c r="L89" i="1" s="1"/>
  <c r="G89" i="1"/>
  <c r="H88" i="1"/>
  <c r="L88" i="1" s="1"/>
  <c r="G88" i="1"/>
  <c r="H87" i="1"/>
  <c r="L87" i="1" s="1"/>
  <c r="K87" i="1"/>
  <c r="G87" i="1"/>
  <c r="H86" i="1"/>
  <c r="L86" i="1" s="1"/>
  <c r="K86" i="1"/>
  <c r="G86" i="1"/>
  <c r="H85" i="1"/>
  <c r="L85" i="1" s="1"/>
  <c r="K85" i="1"/>
  <c r="G85" i="1"/>
  <c r="K84" i="1"/>
  <c r="H84" i="1"/>
  <c r="L84" i="1" s="1"/>
  <c r="G84" i="1"/>
  <c r="H83" i="1"/>
  <c r="L83" i="1" s="1"/>
  <c r="K83" i="1"/>
  <c r="G83" i="1"/>
  <c r="H82" i="1"/>
  <c r="L82" i="1" s="1"/>
  <c r="K82" i="1"/>
  <c r="G82" i="1"/>
  <c r="H81" i="1"/>
  <c r="L81" i="1" s="1"/>
  <c r="K81" i="1"/>
  <c r="G81" i="1"/>
  <c r="AA80" i="1"/>
  <c r="Z80" i="1"/>
  <c r="T80" i="1"/>
  <c r="S80" i="1"/>
  <c r="K80" i="1"/>
  <c r="G80" i="1"/>
  <c r="K79" i="1"/>
  <c r="H79" i="1"/>
  <c r="L79" i="1" s="1"/>
  <c r="G79" i="1"/>
  <c r="H77" i="1"/>
  <c r="K77" i="1"/>
  <c r="G77" i="1"/>
  <c r="H76" i="1"/>
  <c r="K76" i="1"/>
  <c r="G76" i="1"/>
  <c r="H75" i="1"/>
  <c r="K75" i="1"/>
  <c r="G75" i="1"/>
  <c r="H74" i="1"/>
  <c r="K74" i="1"/>
  <c r="G74" i="1"/>
  <c r="H71" i="1"/>
  <c r="K71" i="1"/>
  <c r="G71" i="1"/>
  <c r="H70" i="1"/>
  <c r="K70" i="1"/>
  <c r="G70" i="1"/>
  <c r="H69" i="1"/>
  <c r="K69" i="1"/>
  <c r="G69" i="1"/>
  <c r="H68" i="1"/>
  <c r="K68" i="1"/>
  <c r="G68" i="1"/>
  <c r="H65" i="1"/>
  <c r="K65" i="1"/>
  <c r="G65" i="1"/>
  <c r="H64" i="1"/>
  <c r="K64" i="1"/>
  <c r="G64" i="1"/>
  <c r="H63" i="1"/>
  <c r="K63" i="1"/>
  <c r="G63" i="1"/>
  <c r="H62" i="1"/>
  <c r="K62" i="1"/>
  <c r="G62" i="1"/>
  <c r="H61" i="1"/>
  <c r="K61" i="1"/>
  <c r="G61" i="1"/>
  <c r="H60" i="1"/>
  <c r="K60" i="1"/>
  <c r="G60" i="1"/>
  <c r="H58" i="1"/>
  <c r="K58" i="1"/>
  <c r="G58" i="1"/>
  <c r="H57" i="1"/>
  <c r="K57" i="1"/>
  <c r="G57" i="1"/>
  <c r="H56" i="1"/>
  <c r="K56" i="1"/>
  <c r="G56" i="1"/>
  <c r="H53" i="1"/>
  <c r="K53" i="1"/>
  <c r="G53" i="1"/>
  <c r="H52" i="1"/>
  <c r="K52" i="1"/>
  <c r="G52" i="1"/>
  <c r="H51" i="1"/>
  <c r="K51" i="1"/>
  <c r="G51" i="1"/>
  <c r="H50" i="1"/>
  <c r="K50" i="1"/>
  <c r="G50" i="1"/>
  <c r="H49" i="1"/>
  <c r="K49" i="1"/>
  <c r="G49" i="1"/>
  <c r="H48" i="1"/>
  <c r="K48" i="1"/>
  <c r="G48" i="1"/>
  <c r="H47" i="1"/>
  <c r="I47" i="1" s="1"/>
  <c r="K47" i="1"/>
  <c r="E47" i="1"/>
  <c r="H46" i="1"/>
  <c r="K46" i="1"/>
  <c r="G46" i="1"/>
  <c r="H45" i="1"/>
  <c r="K45" i="1"/>
  <c r="G45" i="1"/>
  <c r="H44" i="1"/>
  <c r="K44" i="1"/>
  <c r="G44" i="1"/>
  <c r="H43" i="1"/>
  <c r="K43" i="1"/>
  <c r="G43" i="1"/>
  <c r="H41" i="1"/>
  <c r="L41" i="1" s="1"/>
  <c r="K41" i="1"/>
  <c r="G41" i="1"/>
  <c r="H40" i="1"/>
  <c r="L40" i="1" s="1"/>
  <c r="K40" i="1"/>
  <c r="G40" i="1"/>
  <c r="H38" i="1"/>
  <c r="K38" i="1"/>
  <c r="G38" i="1"/>
  <c r="H37" i="1"/>
  <c r="K37" i="1"/>
  <c r="G37" i="1"/>
  <c r="H36" i="1"/>
  <c r="K36" i="1"/>
  <c r="G36" i="1"/>
  <c r="H35" i="1"/>
  <c r="K35" i="1"/>
  <c r="G35" i="1"/>
  <c r="H32" i="1"/>
  <c r="K32" i="1"/>
  <c r="G32" i="1"/>
  <c r="H31" i="1"/>
  <c r="K31" i="1"/>
  <c r="G31" i="1"/>
  <c r="H30" i="1"/>
  <c r="K30" i="1"/>
  <c r="G30" i="1"/>
  <c r="H29" i="1"/>
  <c r="K29" i="1"/>
  <c r="G29" i="1"/>
  <c r="H28" i="1"/>
  <c r="K28" i="1"/>
  <c r="G28" i="1"/>
  <c r="H27" i="1"/>
  <c r="K27" i="1"/>
  <c r="G27" i="1"/>
  <c r="H24" i="1"/>
  <c r="K24" i="1"/>
  <c r="G24" i="1"/>
  <c r="K23" i="1"/>
  <c r="H23" i="1"/>
  <c r="L23" i="1" s="1"/>
  <c r="G23" i="1"/>
  <c r="H22" i="1"/>
  <c r="K22" i="1"/>
  <c r="G22" i="1"/>
  <c r="H21" i="1"/>
  <c r="K21" i="1"/>
  <c r="G21" i="1"/>
  <c r="H20" i="1"/>
  <c r="K20" i="1"/>
  <c r="G20" i="1"/>
  <c r="H19" i="1"/>
  <c r="K19" i="1"/>
  <c r="G19" i="1"/>
  <c r="H18" i="1"/>
  <c r="L18" i="1" s="1"/>
  <c r="K18" i="1"/>
  <c r="G18" i="1"/>
  <c r="H17" i="1"/>
  <c r="L17" i="1" s="1"/>
  <c r="K17" i="1"/>
  <c r="G17" i="1"/>
  <c r="K15" i="1"/>
  <c r="H15" i="1"/>
  <c r="L15" i="1" s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G213" i="1" l="1"/>
  <c r="M183" i="1"/>
  <c r="M168" i="1"/>
  <c r="L240" i="1"/>
  <c r="M153" i="1"/>
  <c r="I280" i="1"/>
  <c r="N280" i="1" s="1"/>
  <c r="K213" i="1"/>
  <c r="P80" i="1"/>
  <c r="H80" i="1" s="1"/>
  <c r="L80" i="1" s="1"/>
  <c r="L111" i="1"/>
  <c r="N237" i="1"/>
  <c r="N316" i="1"/>
  <c r="I139" i="1"/>
  <c r="M139" i="1" s="1"/>
  <c r="L126" i="1"/>
  <c r="L170" i="1"/>
  <c r="M314" i="1"/>
  <c r="L169" i="1"/>
  <c r="I135" i="1"/>
  <c r="N135" i="1" s="1"/>
  <c r="I134" i="1"/>
  <c r="N134" i="1" s="1"/>
  <c r="I238" i="1"/>
  <c r="M238" i="1" s="1"/>
  <c r="L238" i="1"/>
  <c r="I127" i="1"/>
  <c r="N127" i="1" s="1"/>
  <c r="L281" i="1"/>
  <c r="N315" i="1"/>
  <c r="N240" i="1"/>
  <c r="M135" i="1"/>
  <c r="M280" i="1"/>
  <c r="L116" i="1"/>
  <c r="I116" i="1"/>
  <c r="M116" i="1" s="1"/>
  <c r="L197" i="1"/>
  <c r="I197" i="1"/>
  <c r="N197" i="1" s="1"/>
  <c r="L119" i="1"/>
  <c r="I119" i="1"/>
  <c r="M119" i="1" s="1"/>
  <c r="L200" i="1"/>
  <c r="I200" i="1"/>
  <c r="N200" i="1" s="1"/>
  <c r="L21" i="1"/>
  <c r="I21" i="1"/>
  <c r="M21" i="1" s="1"/>
  <c r="I251" i="1"/>
  <c r="M251" i="1" s="1"/>
  <c r="L251" i="1"/>
  <c r="G323" i="1"/>
  <c r="K25" i="1"/>
  <c r="G108" i="1"/>
  <c r="L244" i="1"/>
  <c r="N253" i="1"/>
  <c r="L257" i="1"/>
  <c r="I287" i="1"/>
  <c r="M287" i="1" s="1"/>
  <c r="I288" i="1"/>
  <c r="M288" i="1" s="1"/>
  <c r="I289" i="1"/>
  <c r="M289" i="1" s="1"/>
  <c r="I294" i="1"/>
  <c r="N294" i="1" s="1"/>
  <c r="K317" i="1"/>
  <c r="K323" i="1"/>
  <c r="G25" i="1"/>
  <c r="L47" i="1"/>
  <c r="M126" i="1"/>
  <c r="I130" i="1"/>
  <c r="N130" i="1" s="1"/>
  <c r="I142" i="1"/>
  <c r="M142" i="1" s="1"/>
  <c r="I143" i="1"/>
  <c r="M143" i="1" s="1"/>
  <c r="N257" i="1"/>
  <c r="I284" i="1"/>
  <c r="N284" i="1" s="1"/>
  <c r="I285" i="1"/>
  <c r="M285" i="1" s="1"/>
  <c r="I298" i="1"/>
  <c r="N298" i="1" s="1"/>
  <c r="M305" i="1"/>
  <c r="L167" i="1"/>
  <c r="I167" i="1"/>
  <c r="M167" i="1" s="1"/>
  <c r="L195" i="1"/>
  <c r="I195" i="1"/>
  <c r="N195" i="1" s="1"/>
  <c r="L236" i="1"/>
  <c r="I236" i="1"/>
  <c r="N236" i="1" s="1"/>
  <c r="L115" i="1"/>
  <c r="I115" i="1"/>
  <c r="M115" i="1" s="1"/>
  <c r="L117" i="1"/>
  <c r="I117" i="1"/>
  <c r="M117" i="1" s="1"/>
  <c r="L124" i="1"/>
  <c r="I124" i="1"/>
  <c r="M124" i="1" s="1"/>
  <c r="L196" i="1"/>
  <c r="I196" i="1"/>
  <c r="N196" i="1" s="1"/>
  <c r="L198" i="1"/>
  <c r="I198" i="1"/>
  <c r="N198" i="1" s="1"/>
  <c r="I255" i="1"/>
  <c r="N255" i="1" s="1"/>
  <c r="L255" i="1"/>
  <c r="L157" i="1"/>
  <c r="I157" i="1"/>
  <c r="L19" i="1"/>
  <c r="I19" i="1"/>
  <c r="M19" i="1" s="1"/>
  <c r="I249" i="1"/>
  <c r="N249" i="1" s="1"/>
  <c r="L249" i="1"/>
  <c r="L122" i="1"/>
  <c r="I122" i="1"/>
  <c r="M122" i="1" s="1"/>
  <c r="L166" i="1"/>
  <c r="I166" i="1"/>
  <c r="M166" i="1" s="1"/>
  <c r="L180" i="1"/>
  <c r="I180" i="1"/>
  <c r="N180" i="1" s="1"/>
  <c r="L235" i="1"/>
  <c r="I235" i="1"/>
  <c r="N235" i="1" s="1"/>
  <c r="L239" i="1"/>
  <c r="I239" i="1"/>
  <c r="N239" i="1" s="1"/>
  <c r="L24" i="1"/>
  <c r="I24" i="1"/>
  <c r="M24" i="1" s="1"/>
  <c r="L114" i="1"/>
  <c r="I114" i="1"/>
  <c r="M114" i="1" s="1"/>
  <c r="I247" i="1"/>
  <c r="N247" i="1" s="1"/>
  <c r="L247" i="1"/>
  <c r="L20" i="1"/>
  <c r="I20" i="1"/>
  <c r="M20" i="1" s="1"/>
  <c r="L22" i="1"/>
  <c r="I22" i="1"/>
  <c r="M22" i="1" s="1"/>
  <c r="L110" i="1"/>
  <c r="I110" i="1"/>
  <c r="N110" i="1" s="1"/>
  <c r="G185" i="1"/>
  <c r="G241" i="1"/>
  <c r="G302" i="1"/>
  <c r="L245" i="1"/>
  <c r="I283" i="1"/>
  <c r="M283" i="1" s="1"/>
  <c r="I290" i="1"/>
  <c r="M290" i="1" s="1"/>
  <c r="N306" i="1"/>
  <c r="M309" i="1"/>
  <c r="K33" i="1"/>
  <c r="I159" i="1"/>
  <c r="M175" i="1"/>
  <c r="K241" i="1"/>
  <c r="L237" i="1"/>
  <c r="M155" i="1"/>
  <c r="I162" i="1"/>
  <c r="M162" i="1" s="1"/>
  <c r="I165" i="1"/>
  <c r="M165" i="1" s="1"/>
  <c r="G230" i="1"/>
  <c r="K302" i="1"/>
  <c r="N246" i="1"/>
  <c r="H260" i="1"/>
  <c r="I260" i="1" s="1"/>
  <c r="N260" i="1" s="1"/>
  <c r="M308" i="1"/>
  <c r="N311" i="1"/>
  <c r="I312" i="1"/>
  <c r="I18" i="1"/>
  <c r="M18" i="1" s="1"/>
  <c r="I41" i="1"/>
  <c r="M41" i="1" s="1"/>
  <c r="K108" i="1"/>
  <c r="I113" i="1"/>
  <c r="M113" i="1" s="1"/>
  <c r="I121" i="1"/>
  <c r="M121" i="1" s="1"/>
  <c r="I131" i="1"/>
  <c r="N131" i="1" s="1"/>
  <c r="I138" i="1"/>
  <c r="M138" i="1" s="1"/>
  <c r="I158" i="1"/>
  <c r="M158" i="1" s="1"/>
  <c r="I161" i="1"/>
  <c r="I194" i="1"/>
  <c r="N194" i="1" s="1"/>
  <c r="K230" i="1"/>
  <c r="N250" i="1"/>
  <c r="L253" i="1"/>
  <c r="N259" i="1"/>
  <c r="I282" i="1"/>
  <c r="M282" i="1" s="1"/>
  <c r="K328" i="1"/>
  <c r="I15" i="1"/>
  <c r="I23" i="1"/>
  <c r="M23" i="1" s="1"/>
  <c r="K66" i="1"/>
  <c r="I118" i="1"/>
  <c r="M118" i="1" s="1"/>
  <c r="I125" i="1"/>
  <c r="N125" i="1" s="1"/>
  <c r="I164" i="1"/>
  <c r="M164" i="1" s="1"/>
  <c r="I181" i="1"/>
  <c r="N181" i="1" s="1"/>
  <c r="I199" i="1"/>
  <c r="N199" i="1" s="1"/>
  <c r="M237" i="1"/>
  <c r="N252" i="1"/>
  <c r="N307" i="1"/>
  <c r="N310" i="1"/>
  <c r="I322" i="1"/>
  <c r="N322" i="1" s="1"/>
  <c r="M281" i="1"/>
  <c r="N308" i="1"/>
  <c r="K171" i="1"/>
  <c r="I17" i="1"/>
  <c r="M17" i="1" s="1"/>
  <c r="I40" i="1"/>
  <c r="M40" i="1" s="1"/>
  <c r="I120" i="1"/>
  <c r="M120" i="1" s="1"/>
  <c r="I154" i="1"/>
  <c r="M154" i="1" s="1"/>
  <c r="M156" i="1"/>
  <c r="I160" i="1"/>
  <c r="M160" i="1" s="1"/>
  <c r="I163" i="1"/>
  <c r="I201" i="1"/>
  <c r="N201" i="1" s="1"/>
  <c r="M240" i="1"/>
  <c r="L259" i="1"/>
  <c r="L279" i="1"/>
  <c r="I29" i="1"/>
  <c r="N29" i="1" s="1"/>
  <c r="L29" i="1"/>
  <c r="I77" i="1"/>
  <c r="M77" i="1" s="1"/>
  <c r="L77" i="1"/>
  <c r="N13" i="1"/>
  <c r="M13" i="1"/>
  <c r="I28" i="1"/>
  <c r="N28" i="1" s="1"/>
  <c r="L28" i="1"/>
  <c r="I32" i="1"/>
  <c r="N32" i="1" s="1"/>
  <c r="L32" i="1"/>
  <c r="I36" i="1"/>
  <c r="N36" i="1" s="1"/>
  <c r="L36" i="1"/>
  <c r="I44" i="1"/>
  <c r="N44" i="1" s="1"/>
  <c r="L44" i="1"/>
  <c r="I48" i="1"/>
  <c r="N48" i="1" s="1"/>
  <c r="L48" i="1"/>
  <c r="I52" i="1"/>
  <c r="N52" i="1" s="1"/>
  <c r="L52" i="1"/>
  <c r="I56" i="1"/>
  <c r="L56" i="1"/>
  <c r="I60" i="1"/>
  <c r="L60" i="1"/>
  <c r="I64" i="1"/>
  <c r="L64" i="1"/>
  <c r="I68" i="1"/>
  <c r="N68" i="1" s="1"/>
  <c r="L68" i="1"/>
  <c r="I76" i="1"/>
  <c r="N76" i="1" s="1"/>
  <c r="L76" i="1"/>
  <c r="I37" i="1"/>
  <c r="N37" i="1" s="1"/>
  <c r="L37" i="1"/>
  <c r="I53" i="1"/>
  <c r="N53" i="1" s="1"/>
  <c r="L53" i="1"/>
  <c r="I65" i="1"/>
  <c r="L65" i="1"/>
  <c r="I69" i="1"/>
  <c r="M69" i="1" s="1"/>
  <c r="L69" i="1"/>
  <c r="I27" i="1"/>
  <c r="M27" i="1" s="1"/>
  <c r="L27" i="1"/>
  <c r="I31" i="1"/>
  <c r="N31" i="1" s="1"/>
  <c r="L31" i="1"/>
  <c r="I35" i="1"/>
  <c r="M35" i="1" s="1"/>
  <c r="L35" i="1"/>
  <c r="I43" i="1"/>
  <c r="N43" i="1" s="1"/>
  <c r="L43" i="1"/>
  <c r="I51" i="1"/>
  <c r="N51" i="1" s="1"/>
  <c r="L51" i="1"/>
  <c r="I63" i="1"/>
  <c r="L63" i="1"/>
  <c r="I71" i="1"/>
  <c r="M71" i="1" s="1"/>
  <c r="L71" i="1"/>
  <c r="I75" i="1"/>
  <c r="N75" i="1" s="1"/>
  <c r="L75" i="1"/>
  <c r="L123" i="1"/>
  <c r="I123" i="1"/>
  <c r="N123" i="1" s="1"/>
  <c r="I45" i="1"/>
  <c r="N45" i="1" s="1"/>
  <c r="L45" i="1"/>
  <c r="I49" i="1"/>
  <c r="N49" i="1" s="1"/>
  <c r="L49" i="1"/>
  <c r="I57" i="1"/>
  <c r="L57" i="1"/>
  <c r="I61" i="1"/>
  <c r="L61" i="1"/>
  <c r="I30" i="1"/>
  <c r="N30" i="1" s="1"/>
  <c r="L30" i="1"/>
  <c r="I38" i="1"/>
  <c r="N38" i="1" s="1"/>
  <c r="L38" i="1"/>
  <c r="I46" i="1"/>
  <c r="N46" i="1" s="1"/>
  <c r="L46" i="1"/>
  <c r="I50" i="1"/>
  <c r="N50" i="1" s="1"/>
  <c r="L50" i="1"/>
  <c r="I58" i="1"/>
  <c r="L58" i="1"/>
  <c r="I62" i="1"/>
  <c r="L62" i="1"/>
  <c r="I70" i="1"/>
  <c r="N70" i="1" s="1"/>
  <c r="L70" i="1"/>
  <c r="I74" i="1"/>
  <c r="N74" i="1" s="1"/>
  <c r="L74" i="1"/>
  <c r="I149" i="1"/>
  <c r="N149" i="1" s="1"/>
  <c r="L149" i="1"/>
  <c r="N152" i="1"/>
  <c r="M152" i="1"/>
  <c r="L178" i="1"/>
  <c r="I178" i="1"/>
  <c r="M178" i="1" s="1"/>
  <c r="I189" i="1"/>
  <c r="L189" i="1"/>
  <c r="L234" i="1"/>
  <c r="I234" i="1"/>
  <c r="N234" i="1" s="1"/>
  <c r="G33" i="1"/>
  <c r="G47" i="1"/>
  <c r="G66" i="1" s="1"/>
  <c r="I79" i="1"/>
  <c r="M79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7" i="1"/>
  <c r="M97" i="1" s="1"/>
  <c r="I98" i="1"/>
  <c r="M98" i="1" s="1"/>
  <c r="I99" i="1"/>
  <c r="M99" i="1" s="1"/>
  <c r="I100" i="1"/>
  <c r="M100" i="1" s="1"/>
  <c r="I101" i="1"/>
  <c r="M101" i="1" s="1"/>
  <c r="I102" i="1"/>
  <c r="M102" i="1" s="1"/>
  <c r="I103" i="1"/>
  <c r="M103" i="1" s="1"/>
  <c r="I104" i="1"/>
  <c r="M104" i="1" s="1"/>
  <c r="I105" i="1"/>
  <c r="M105" i="1" s="1"/>
  <c r="I106" i="1"/>
  <c r="M106" i="1" s="1"/>
  <c r="I107" i="1"/>
  <c r="M107" i="1" s="1"/>
  <c r="K150" i="1"/>
  <c r="I111" i="1"/>
  <c r="M111" i="1" s="1"/>
  <c r="N126" i="1"/>
  <c r="I128" i="1"/>
  <c r="N128" i="1" s="1"/>
  <c r="I132" i="1"/>
  <c r="I136" i="1"/>
  <c r="I140" i="1"/>
  <c r="I144" i="1"/>
  <c r="I148" i="1"/>
  <c r="N148" i="1" s="1"/>
  <c r="L148" i="1"/>
  <c r="L179" i="1"/>
  <c r="I179" i="1"/>
  <c r="N179" i="1" s="1"/>
  <c r="G150" i="1"/>
  <c r="I129" i="1"/>
  <c r="N129" i="1" s="1"/>
  <c r="I133" i="1"/>
  <c r="I137" i="1"/>
  <c r="I141" i="1"/>
  <c r="I145" i="1"/>
  <c r="M145" i="1" s="1"/>
  <c r="I147" i="1"/>
  <c r="M147" i="1" s="1"/>
  <c r="L147" i="1"/>
  <c r="L152" i="1"/>
  <c r="N169" i="1"/>
  <c r="M169" i="1"/>
  <c r="N170" i="1"/>
  <c r="M170" i="1"/>
  <c r="G171" i="1"/>
  <c r="L176" i="1"/>
  <c r="I176" i="1"/>
  <c r="M176" i="1" s="1"/>
  <c r="I146" i="1"/>
  <c r="N146" i="1" s="1"/>
  <c r="L146" i="1"/>
  <c r="L173" i="1"/>
  <c r="I173" i="1"/>
  <c r="N173" i="1" s="1"/>
  <c r="M174" i="1"/>
  <c r="L177" i="1"/>
  <c r="I177" i="1"/>
  <c r="M177" i="1" s="1"/>
  <c r="I188" i="1"/>
  <c r="L188" i="1"/>
  <c r="I192" i="1"/>
  <c r="L192" i="1"/>
  <c r="L233" i="1"/>
  <c r="I233" i="1"/>
  <c r="N233" i="1" s="1"/>
  <c r="K185" i="1"/>
  <c r="I182" i="1"/>
  <c r="I184" i="1"/>
  <c r="L184" i="1"/>
  <c r="I191" i="1"/>
  <c r="L191" i="1"/>
  <c r="L232" i="1"/>
  <c r="I232" i="1"/>
  <c r="M232" i="1" s="1"/>
  <c r="I190" i="1"/>
  <c r="L190" i="1"/>
  <c r="N202" i="1"/>
  <c r="M202" i="1"/>
  <c r="N203" i="1"/>
  <c r="M203" i="1"/>
  <c r="N204" i="1"/>
  <c r="M204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N215" i="1"/>
  <c r="I230" i="1"/>
  <c r="M215" i="1"/>
  <c r="N216" i="1"/>
  <c r="M216" i="1"/>
  <c r="N217" i="1"/>
  <c r="M217" i="1"/>
  <c r="N218" i="1"/>
  <c r="M218" i="1"/>
  <c r="N219" i="1"/>
  <c r="M219" i="1"/>
  <c r="N220" i="1"/>
  <c r="M220" i="1"/>
  <c r="N221" i="1"/>
  <c r="M221" i="1"/>
  <c r="N222" i="1"/>
  <c r="M222" i="1"/>
  <c r="N223" i="1"/>
  <c r="M223" i="1"/>
  <c r="N224" i="1"/>
  <c r="M224" i="1"/>
  <c r="N225" i="1"/>
  <c r="M225" i="1"/>
  <c r="N226" i="1"/>
  <c r="M226" i="1"/>
  <c r="N228" i="1"/>
  <c r="M228" i="1"/>
  <c r="N229" i="1"/>
  <c r="M229" i="1"/>
  <c r="L202" i="1"/>
  <c r="L203" i="1"/>
  <c r="L204" i="1"/>
  <c r="L206" i="1"/>
  <c r="L207" i="1"/>
  <c r="L208" i="1"/>
  <c r="L209" i="1"/>
  <c r="L210" i="1"/>
  <c r="L211" i="1"/>
  <c r="L212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N244" i="1"/>
  <c r="L246" i="1"/>
  <c r="L248" i="1"/>
  <c r="L250" i="1"/>
  <c r="L252" i="1"/>
  <c r="L254" i="1"/>
  <c r="L256" i="1"/>
  <c r="L258" i="1"/>
  <c r="L262" i="1"/>
  <c r="L263" i="1"/>
  <c r="L264" i="1"/>
  <c r="L265" i="1"/>
  <c r="L266" i="1"/>
  <c r="L267" i="1"/>
  <c r="I268" i="1"/>
  <c r="N268" i="1" s="1"/>
  <c r="L268" i="1"/>
  <c r="I272" i="1"/>
  <c r="M272" i="1" s="1"/>
  <c r="L272" i="1"/>
  <c r="I276" i="1"/>
  <c r="N276" i="1" s="1"/>
  <c r="L276" i="1"/>
  <c r="M246" i="1"/>
  <c r="M248" i="1"/>
  <c r="M250" i="1"/>
  <c r="M252" i="1"/>
  <c r="N254" i="1"/>
  <c r="M254" i="1"/>
  <c r="N256" i="1"/>
  <c r="M256" i="1"/>
  <c r="N258" i="1"/>
  <c r="M258" i="1"/>
  <c r="I271" i="1"/>
  <c r="N271" i="1" s="1"/>
  <c r="L271" i="1"/>
  <c r="I275" i="1"/>
  <c r="M275" i="1" s="1"/>
  <c r="L275" i="1"/>
  <c r="L295" i="1"/>
  <c r="I295" i="1"/>
  <c r="N295" i="1" s="1"/>
  <c r="N245" i="1"/>
  <c r="N262" i="1"/>
  <c r="M262" i="1"/>
  <c r="N263" i="1"/>
  <c r="M263" i="1"/>
  <c r="N264" i="1"/>
  <c r="M264" i="1"/>
  <c r="N265" i="1"/>
  <c r="M265" i="1"/>
  <c r="N266" i="1"/>
  <c r="M266" i="1"/>
  <c r="N267" i="1"/>
  <c r="M267" i="1"/>
  <c r="I274" i="1"/>
  <c r="M274" i="1" s="1"/>
  <c r="L274" i="1"/>
  <c r="M311" i="1"/>
  <c r="L319" i="1"/>
  <c r="I319" i="1"/>
  <c r="M319" i="1" s="1"/>
  <c r="L326" i="1"/>
  <c r="I326" i="1"/>
  <c r="M326" i="1" s="1"/>
  <c r="M244" i="1"/>
  <c r="M245" i="1"/>
  <c r="M253" i="1"/>
  <c r="M257" i="1"/>
  <c r="M259" i="1"/>
  <c r="I269" i="1"/>
  <c r="N269" i="1" s="1"/>
  <c r="L269" i="1"/>
  <c r="I273" i="1"/>
  <c r="N273" i="1" s="1"/>
  <c r="L273" i="1"/>
  <c r="I277" i="1"/>
  <c r="N277" i="1" s="1"/>
  <c r="L277" i="1"/>
  <c r="L291" i="1"/>
  <c r="I291" i="1"/>
  <c r="N291" i="1" s="1"/>
  <c r="L299" i="1"/>
  <c r="I299" i="1"/>
  <c r="N299" i="1" s="1"/>
  <c r="M279" i="1"/>
  <c r="L325" i="1"/>
  <c r="I325" i="1"/>
  <c r="N279" i="1"/>
  <c r="N281" i="1"/>
  <c r="I292" i="1"/>
  <c r="N292" i="1" s="1"/>
  <c r="I296" i="1"/>
  <c r="N296" i="1" s="1"/>
  <c r="I300" i="1"/>
  <c r="N300" i="1" s="1"/>
  <c r="K312" i="1"/>
  <c r="M307" i="1"/>
  <c r="I320" i="1"/>
  <c r="N320" i="1" s="1"/>
  <c r="I293" i="1"/>
  <c r="N293" i="1" s="1"/>
  <c r="I297" i="1"/>
  <c r="N297" i="1" s="1"/>
  <c r="I301" i="1"/>
  <c r="N301" i="1" s="1"/>
  <c r="M316" i="1"/>
  <c r="I321" i="1"/>
  <c r="N321" i="1" s="1"/>
  <c r="L327" i="1"/>
  <c r="I327" i="1"/>
  <c r="N327" i="1" s="1"/>
  <c r="N305" i="1"/>
  <c r="N309" i="1"/>
  <c r="G312" i="1"/>
  <c r="N314" i="1"/>
  <c r="G317" i="1"/>
  <c r="N317" i="1" s="1"/>
  <c r="M306" i="1"/>
  <c r="M310" i="1"/>
  <c r="M315" i="1"/>
  <c r="G328" i="1"/>
  <c r="K345" i="1" l="1"/>
  <c r="K346" i="1" s="1"/>
  <c r="K347" i="1" s="1"/>
  <c r="J349" i="1" s="1"/>
  <c r="M127" i="1"/>
  <c r="M325" i="1"/>
  <c r="N325" i="1"/>
  <c r="M322" i="1"/>
  <c r="M32" i="1"/>
  <c r="F345" i="1"/>
  <c r="N285" i="1"/>
  <c r="N139" i="1"/>
  <c r="M294" i="1"/>
  <c r="N154" i="1"/>
  <c r="N312" i="1"/>
  <c r="N230" i="1"/>
  <c r="M198" i="1"/>
  <c r="N142" i="1"/>
  <c r="N21" i="1"/>
  <c r="N289" i="1"/>
  <c r="M235" i="1"/>
  <c r="N24" i="1"/>
  <c r="N290" i="1"/>
  <c r="N22" i="1"/>
  <c r="N138" i="1"/>
  <c r="M239" i="1"/>
  <c r="M298" i="1"/>
  <c r="M255" i="1"/>
  <c r="M199" i="1"/>
  <c r="N251" i="1"/>
  <c r="I213" i="1"/>
  <c r="N213" i="1" s="1"/>
  <c r="N272" i="1"/>
  <c r="N119" i="1"/>
  <c r="N120" i="1"/>
  <c r="M131" i="1"/>
  <c r="M125" i="1"/>
  <c r="N143" i="1"/>
  <c r="N115" i="1"/>
  <c r="C7" i="2"/>
  <c r="D7" i="2" s="1"/>
  <c r="E7" i="2" s="1"/>
  <c r="F7" i="2" s="1"/>
  <c r="C8" i="2"/>
  <c r="D8" i="2" s="1"/>
  <c r="M148" i="1"/>
  <c r="M43" i="1"/>
  <c r="M284" i="1"/>
  <c r="M194" i="1"/>
  <c r="M247" i="1"/>
  <c r="M299" i="1"/>
  <c r="M68" i="1"/>
  <c r="N41" i="1"/>
  <c r="M149" i="1"/>
  <c r="N20" i="1"/>
  <c r="N238" i="1"/>
  <c r="M271" i="1"/>
  <c r="N18" i="1"/>
  <c r="C5" i="2"/>
  <c r="D5" i="2" s="1"/>
  <c r="E5" i="2" s="1"/>
  <c r="F5" i="2" s="1"/>
  <c r="M36" i="1"/>
  <c r="C4" i="2"/>
  <c r="C9" i="2" s="1"/>
  <c r="N275" i="1"/>
  <c r="N17" i="1"/>
  <c r="M134" i="1"/>
  <c r="M48" i="1"/>
  <c r="N162" i="1"/>
  <c r="N118" i="1"/>
  <c r="M75" i="1"/>
  <c r="M29" i="1"/>
  <c r="M260" i="1"/>
  <c r="L260" i="1"/>
  <c r="N167" i="1"/>
  <c r="M123" i="1"/>
  <c r="I80" i="1"/>
  <c r="M80" i="1" s="1"/>
  <c r="M70" i="1"/>
  <c r="M37" i="1"/>
  <c r="M74" i="1"/>
  <c r="M28" i="1"/>
  <c r="M31" i="1"/>
  <c r="N288" i="1"/>
  <c r="M276" i="1"/>
  <c r="M268" i="1"/>
  <c r="M130" i="1"/>
  <c r="M45" i="1"/>
  <c r="N77" i="1"/>
  <c r="M293" i="1"/>
  <c r="M249" i="1"/>
  <c r="M233" i="1"/>
  <c r="M181" i="1"/>
  <c r="N164" i="1"/>
  <c r="M44" i="1"/>
  <c r="N116" i="1"/>
  <c r="M317" i="1"/>
  <c r="M201" i="1"/>
  <c r="M197" i="1"/>
  <c r="N287" i="1"/>
  <c r="M146" i="1"/>
  <c r="M110" i="1"/>
  <c r="N19" i="1"/>
  <c r="N114" i="1"/>
  <c r="M52" i="1"/>
  <c r="N83" i="1"/>
  <c r="N69" i="1"/>
  <c r="I25" i="1"/>
  <c r="M200" i="1"/>
  <c r="M196" i="1"/>
  <c r="M234" i="1"/>
  <c r="M180" i="1"/>
  <c r="N23" i="1"/>
  <c r="N158" i="1"/>
  <c r="M76" i="1"/>
  <c r="N40" i="1"/>
  <c r="N122" i="1"/>
  <c r="N117" i="1"/>
  <c r="N113" i="1"/>
  <c r="M312" i="1"/>
  <c r="N282" i="1"/>
  <c r="M195" i="1"/>
  <c r="N326" i="1"/>
  <c r="N121" i="1"/>
  <c r="M157" i="1"/>
  <c r="N157" i="1"/>
  <c r="N166" i="1"/>
  <c r="N160" i="1"/>
  <c r="N71" i="1"/>
  <c r="M159" i="1"/>
  <c r="N159" i="1"/>
  <c r="M273" i="1"/>
  <c r="I171" i="1"/>
  <c r="N171" i="1" s="1"/>
  <c r="M236" i="1"/>
  <c r="M161" i="1"/>
  <c r="N161" i="1"/>
  <c r="N178" i="1"/>
  <c r="M15" i="1"/>
  <c r="M25" i="1" s="1"/>
  <c r="M295" i="1"/>
  <c r="N15" i="1"/>
  <c r="N165" i="1"/>
  <c r="M301" i="1"/>
  <c r="N283" i="1"/>
  <c r="M269" i="1"/>
  <c r="N274" i="1"/>
  <c r="M38" i="1"/>
  <c r="M163" i="1"/>
  <c r="N163" i="1"/>
  <c r="M321" i="1"/>
  <c r="M277" i="1"/>
  <c r="M320" i="1"/>
  <c r="M292" i="1"/>
  <c r="M230" i="1"/>
  <c r="N190" i="1"/>
  <c r="M190" i="1"/>
  <c r="N232" i="1"/>
  <c r="I241" i="1"/>
  <c r="N241" i="1" s="1"/>
  <c r="N191" i="1"/>
  <c r="M191" i="1"/>
  <c r="I185" i="1"/>
  <c r="N185" i="1" s="1"/>
  <c r="M173" i="1"/>
  <c r="N177" i="1"/>
  <c r="M129" i="1"/>
  <c r="N58" i="1"/>
  <c r="M58" i="1"/>
  <c r="N111" i="1"/>
  <c r="N104" i="1"/>
  <c r="N100" i="1"/>
  <c r="N96" i="1"/>
  <c r="N92" i="1"/>
  <c r="N88" i="1"/>
  <c r="N84" i="1"/>
  <c r="I66" i="1"/>
  <c r="N66" i="1" s="1"/>
  <c r="M50" i="1"/>
  <c r="I302" i="1"/>
  <c r="N192" i="1"/>
  <c r="M192" i="1"/>
  <c r="M137" i="1"/>
  <c r="N137" i="1"/>
  <c r="N176" i="1"/>
  <c r="M144" i="1"/>
  <c r="N144" i="1"/>
  <c r="M136" i="1"/>
  <c r="N136" i="1"/>
  <c r="N47" i="1"/>
  <c r="M47" i="1"/>
  <c r="N61" i="1"/>
  <c r="M61" i="1"/>
  <c r="N107" i="1"/>
  <c r="N103" i="1"/>
  <c r="N99" i="1"/>
  <c r="N95" i="1"/>
  <c r="N91" i="1"/>
  <c r="N87" i="1"/>
  <c r="N27" i="1"/>
  <c r="I33" i="1"/>
  <c r="N64" i="1"/>
  <c r="M64" i="1"/>
  <c r="N56" i="1"/>
  <c r="M56" i="1"/>
  <c r="M327" i="1"/>
  <c r="M297" i="1"/>
  <c r="I328" i="1"/>
  <c r="N328" i="1" s="1"/>
  <c r="M300" i="1"/>
  <c r="N184" i="1"/>
  <c r="M184" i="1"/>
  <c r="M46" i="1"/>
  <c r="N189" i="1"/>
  <c r="M189" i="1"/>
  <c r="N147" i="1"/>
  <c r="N62" i="1"/>
  <c r="M62" i="1"/>
  <c r="N106" i="1"/>
  <c r="N102" i="1"/>
  <c r="N98" i="1"/>
  <c r="N94" i="1"/>
  <c r="N90" i="1"/>
  <c r="N86" i="1"/>
  <c r="N82" i="1"/>
  <c r="N63" i="1"/>
  <c r="M63" i="1"/>
  <c r="M49" i="1"/>
  <c r="N79" i="1"/>
  <c r="M51" i="1"/>
  <c r="N35" i="1"/>
  <c r="M30" i="1"/>
  <c r="M296" i="1"/>
  <c r="I323" i="1"/>
  <c r="N323" i="1" s="1"/>
  <c r="N319" i="1"/>
  <c r="M291" i="1"/>
  <c r="N182" i="1"/>
  <c r="M182" i="1"/>
  <c r="N188" i="1"/>
  <c r="M188" i="1"/>
  <c r="M141" i="1"/>
  <c r="N141" i="1"/>
  <c r="M133" i="1"/>
  <c r="N133" i="1"/>
  <c r="M140" i="1"/>
  <c r="N140" i="1"/>
  <c r="M132" i="1"/>
  <c r="N132" i="1"/>
  <c r="M179" i="1"/>
  <c r="M128" i="1"/>
  <c r="I150" i="1"/>
  <c r="N150" i="1" s="1"/>
  <c r="N57" i="1"/>
  <c r="M57" i="1"/>
  <c r="N105" i="1"/>
  <c r="N101" i="1"/>
  <c r="N97" i="1"/>
  <c r="N93" i="1"/>
  <c r="N89" i="1"/>
  <c r="N85" i="1"/>
  <c r="N81" i="1"/>
  <c r="M53" i="1"/>
  <c r="N65" i="1"/>
  <c r="M65" i="1"/>
  <c r="N60" i="1"/>
  <c r="M60" i="1"/>
  <c r="M150" i="1" l="1"/>
  <c r="M328" i="1"/>
  <c r="N25" i="1"/>
  <c r="M33" i="1"/>
  <c r="E8" i="2"/>
  <c r="F8" i="2" s="1"/>
  <c r="D4" i="2"/>
  <c r="D9" i="2" s="1"/>
  <c r="M323" i="1"/>
  <c r="M108" i="1"/>
  <c r="I108" i="1"/>
  <c r="N108" i="1" s="1"/>
  <c r="N80" i="1"/>
  <c r="M241" i="1"/>
  <c r="M171" i="1"/>
  <c r="M66" i="1"/>
  <c r="M302" i="1"/>
  <c r="J351" i="1"/>
  <c r="J353" i="1" s="1"/>
  <c r="G5" i="2"/>
  <c r="H5" i="2" s="1"/>
  <c r="F346" i="1"/>
  <c r="F347" i="1" s="1"/>
  <c r="M213" i="1"/>
  <c r="N33" i="1"/>
  <c r="G7" i="2"/>
  <c r="H7" i="2" s="1"/>
  <c r="C6" i="2"/>
  <c r="M185" i="1"/>
  <c r="M345" i="1" l="1"/>
  <c r="M346" i="1" s="1"/>
  <c r="M347" i="1" s="1"/>
  <c r="I345" i="1"/>
  <c r="I346" i="1" s="1"/>
  <c r="N346" i="1" s="1"/>
  <c r="G8" i="2"/>
  <c r="H8" i="2" s="1"/>
  <c r="E4" i="2"/>
  <c r="I5" i="2"/>
  <c r="J5" i="2" s="1"/>
  <c r="D6" i="2"/>
  <c r="I7" i="2"/>
  <c r="J7" i="2" s="1"/>
  <c r="J355" i="1"/>
  <c r="J357" i="1" s="1"/>
  <c r="F4" i="2" l="1"/>
  <c r="E9" i="2"/>
  <c r="I8" i="2"/>
  <c r="J8" i="2" s="1"/>
  <c r="N345" i="1"/>
  <c r="I347" i="1"/>
  <c r="N347" i="1" s="1"/>
  <c r="E6" i="2"/>
  <c r="J359" i="1"/>
  <c r="J361" i="1" s="1"/>
  <c r="G4" i="2" l="1"/>
  <c r="F9" i="2"/>
  <c r="F6" i="2"/>
  <c r="G9" i="2" l="1"/>
  <c r="H4" i="2"/>
  <c r="G6" i="2"/>
  <c r="I4" i="2" l="1"/>
  <c r="I9" i="2" s="1"/>
  <c r="H9" i="2"/>
  <c r="H6" i="2"/>
  <c r="J4" i="2" l="1"/>
  <c r="J9" i="2" s="1"/>
  <c r="I6" i="2"/>
  <c r="J6" i="2" l="1"/>
</calcChain>
</file>

<file path=xl/sharedStrings.xml><?xml version="1.0" encoding="utf-8"?>
<sst xmlns="http://schemas.openxmlformats.org/spreadsheetml/2006/main" count="1009" uniqueCount="661">
  <si>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</si>
  <si>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</si>
  <si>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</si>
  <si>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</si>
  <si>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</si>
  <si>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</si>
  <si>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</si>
  <si>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</si>
  <si>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</si>
  <si>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</si>
  <si>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</si>
  <si>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</si>
  <si>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</si>
  <si>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</si>
  <si>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</si>
  <si>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</si>
  <si>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</si>
  <si>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</si>
  <si>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</si>
  <si>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</si>
  <si>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</si>
  <si>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</si>
  <si>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</si>
  <si>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</si>
  <si>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</si>
  <si>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</si>
  <si>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</si>
  <si>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</si>
  <si>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</si>
  <si>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</si>
  <si>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</si>
  <si>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</si>
  <si>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</si>
  <si>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</si>
  <si>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</si>
  <si>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</si>
  <si>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</si>
  <si>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</si>
  <si>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</si>
  <si>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</si>
  <si>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</si>
  <si>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</si>
  <si>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</si>
  <si>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</si>
  <si>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</si>
  <si>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</si>
  <si>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</si>
  <si>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</si>
  <si>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</si>
  <si>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</si>
  <si>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</si>
  <si>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</si>
  <si>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</si>
  <si>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</si>
  <si>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</si>
  <si>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</si>
  <si>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</si>
  <si>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</si>
  <si>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</si>
  <si>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</si>
  <si>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</si>
  <si>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</si>
  <si>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</si>
  <si>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</si>
  <si>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</si>
  <si>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</si>
  <si>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</si>
  <si>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</si>
  <si>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</si>
  <si>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</si>
  <si>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</si>
  <si>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</si>
  <si>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</si>
  <si>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</si>
  <si>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</si>
  <si>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</si>
  <si>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</si>
  <si>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</si>
  <si>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</si>
  <si>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</si>
  <si>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</si>
  <si>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</si>
  <si>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</si>
  <si>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</si>
  <si>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</si>
  <si>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</si>
  <si>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</si>
  <si>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</si>
  <si>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</si>
  <si>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</si>
  <si>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</si>
  <si>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</si>
  <si>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</si>
  <si>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</si>
  <si>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</si>
  <si>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</si>
  <si>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</si>
  <si>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</si>
  <si>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</si>
  <si>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</si>
  <si>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</si>
  <si>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</si>
  <si>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</si>
  <si>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</si>
  <si>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</si>
  <si>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</si>
  <si>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</si>
  <si>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</si>
  <si>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</si>
  <si>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</si>
  <si>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</si>
  <si>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</si>
  <si>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</si>
  <si>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</si>
  <si>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</si>
  <si>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</si>
  <si>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</si>
  <si>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</si>
  <si>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</si>
  <si>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</si>
  <si>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</si>
  <si>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</si>
  <si>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</si>
  <si>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</si>
  <si>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</si>
  <si>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</si>
  <si>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</si>
  <si>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</si>
  <si>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</si>
  <si>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</si>
  <si>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</si>
  <si>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</si>
  <si>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</si>
  <si>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</si>
  <si>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</si>
  <si>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</si>
  <si>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</si>
  <si>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</si>
  <si>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</si>
  <si>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</si>
  <si>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</si>
  <si>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</si>
  <si>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</si>
  <si>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</si>
  <si>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</si>
  <si>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</si>
  <si>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</si>
  <si>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</si>
  <si>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</si>
  <si>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</si>
  <si>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</si>
  <si>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</si>
  <si>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</si>
  <si>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</si>
  <si>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</si>
  <si>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</si>
  <si>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</si>
  <si>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</si>
  <si>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</si>
  <si>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</si>
  <si>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</si>
  <si>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</si>
  <si>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</si>
  <si>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</si>
  <si>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</si>
  <si>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</si>
  <si>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</si>
  <si>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</si>
  <si>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</si>
  <si>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</si>
  <si>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</si>
  <si>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</si>
  <si>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</si>
  <si>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</si>
  <si>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</si>
  <si>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</si>
  <si>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</si>
  <si>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</si>
  <si>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</si>
  <si>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</si>
  <si>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</si>
  <si>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</si>
  <si>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</si>
  <si>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</si>
  <si>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</si>
  <si>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</si>
  <si>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</si>
  <si>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</si>
  <si>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</si>
  <si>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</si>
  <si>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</si>
  <si>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</si>
  <si>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</si>
  <si>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</si>
  <si>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</si>
  <si>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</si>
  <si>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</si>
  <si>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</si>
  <si>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</si>
  <si>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</si>
  <si>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</si>
  <si>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</si>
  <si>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</si>
  <si>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</si>
  <si>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</si>
  <si>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</si>
  <si>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</si>
  <si>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</si>
  <si>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</si>
  <si>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</si>
  <si>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</si>
  <si>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</si>
  <si>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</si>
  <si>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</si>
  <si>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</si>
  <si>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</si>
  <si>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</si>
  <si>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</si>
  <si>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</si>
  <si>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</si>
  <si>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</si>
  <si>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</si>
  <si>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</si>
  <si>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</si>
  <si>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</si>
  <si>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</si>
  <si>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</si>
  <si>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</si>
  <si>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</si>
  <si>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</si>
  <si>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</si>
  <si>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</si>
  <si>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</si>
  <si>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</si>
  <si>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</si>
  <si>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</si>
  <si>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</si>
  <si>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</si>
  <si>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</si>
  <si>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</si>
  <si>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</si>
  <si>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</si>
  <si>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</si>
  <si>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</si>
  <si>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</si>
  <si>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</si>
  <si>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</si>
  <si>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</si>
  <si>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</si>
  <si>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</si>
  <si>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</si>
  <si>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</si>
  <si>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</si>
  <si>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</si>
  <si>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</si>
  <si>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</si>
  <si>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</si>
  <si>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</si>
  <si>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</si>
  <si>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</si>
  <si>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</si>
  <si>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</si>
  <si>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</si>
  <si>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</si>
  <si>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</si>
  <si>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</si>
  <si>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</si>
  <si>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</si>
  <si>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</si>
  <si>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</si>
  <si>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</si>
  <si>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</si>
  <si>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</si>
  <si>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</si>
  <si>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</si>
  <si>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</si>
  <si>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</si>
  <si>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</si>
  <si>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</si>
  <si>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</si>
  <si>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</si>
  <si>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</si>
  <si>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</si>
  <si>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</si>
  <si>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</si>
  <si>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</si>
  <si>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</si>
  <si>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</si>
  <si>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</si>
  <si>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</si>
  <si>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</si>
  <si>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</si>
  <si>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</si>
  <si>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</si>
  <si>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</si>
  <si>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</si>
  <si>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</si>
  <si>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</si>
  <si>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</si>
  <si>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</si>
  <si>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</si>
  <si>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</si>
  <si>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</si>
  <si>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</si>
  <si>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</si>
  <si>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</si>
  <si>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</si>
  <si>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</si>
  <si>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</si>
  <si>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</si>
  <si>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</si>
  <si>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</si>
  <si>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</si>
  <si>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</si>
  <si>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</si>
  <si>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</si>
  <si>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</si>
  <si>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</si>
  <si>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</si>
  <si>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</si>
  <si>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</si>
  <si>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</si>
  <si>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</si>
  <si>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</si>
  <si>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</si>
  <si>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</si>
  <si>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</si>
  <si>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</si>
  <si>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</si>
  <si>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</si>
  <si>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</si>
  <si>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</si>
  <si>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</si>
  <si>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</si>
  <si>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</si>
  <si>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</si>
  <si>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</si>
  <si>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</si>
  <si>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</si>
  <si>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</si>
  <si>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</si>
  <si>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</si>
  <si>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</si>
  <si>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</si>
  <si>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</si>
  <si>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</si>
  <si>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</si>
  <si>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</si>
  <si>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</si>
  <si>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</si>
  <si>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</si>
  <si>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</si>
  <si>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</si>
  <si>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</si>
  <si>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</si>
  <si>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</si>
  <si>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</si>
  <si>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</si>
  <si>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</si>
  <si>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</si>
  <si>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</si>
  <si>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</si>
  <si>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</si>
  <si>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</si>
  <si>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</si>
  <si>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</si>
  <si>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</si>
  <si>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</si>
  <si>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</si>
  <si>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</si>
  <si>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</si>
  <si>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</si>
  <si>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</si>
  <si>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</si>
  <si>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</si>
  <si>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</si>
  <si>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</si>
  <si>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</si>
  <si>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</si>
  <si>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</si>
  <si>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</si>
  <si>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</si>
  <si>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</si>
  <si>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</si>
  <si>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</si>
  <si>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</si>
  <si>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</si>
  <si>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</si>
  <si>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</si>
  <si>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</si>
  <si>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</si>
  <si>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</si>
  <si>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</si>
  <si>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</si>
  <si>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</si>
  <si>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</si>
  <si>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</si>
  <si>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</si>
  <si>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</si>
  <si>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</si>
  <si>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</si>
  <si>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</si>
  <si>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</si>
  <si>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</si>
  <si>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</si>
  <si>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</si>
  <si>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</si>
  <si>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</si>
  <si>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</si>
  <si>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</si>
  <si>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</si>
  <si>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</si>
  <si>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</si>
  <si>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</si>
  <si>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</si>
  <si>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</si>
  <si>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</si>
  <si>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</si>
  <si>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</si>
  <si>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</si>
  <si>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</si>
  <si>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</si>
  <si>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</si>
  <si>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</si>
  <si>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</si>
  <si>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</si>
  <si>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</si>
  <si>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</si>
  <si>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</si>
  <si>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</si>
  <si>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</si>
  <si>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</si>
  <si>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</si>
  <si>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</si>
  <si>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</si>
  <si>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</si>
  <si>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</si>
  <si>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</si>
  <si>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</si>
  <si>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</si>
  <si>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</si>
  <si>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</si>
  <si>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</si>
  <si>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</si>
  <si>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</si>
  <si>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</si>
  <si>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</si>
  <si>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</si>
  <si>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</si>
  <si>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</si>
  <si>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</si>
  <si>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</si>
  <si>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</si>
  <si>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</si>
  <si>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</si>
  <si>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</si>
  <si>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</si>
  <si>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</si>
  <si>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</si>
  <si>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</si>
  <si>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</si>
  <si>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</si>
  <si>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</si>
  <si>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</si>
  <si>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</si>
  <si>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</si>
  <si>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</si>
  <si>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</si>
  <si>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</si>
  <si>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</si>
  <si>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</si>
  <si>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</si>
  <si>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</si>
  <si>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</si>
  <si>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</si>
  <si>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</si>
  <si>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</si>
  <si>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</si>
  <si>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</si>
  <si>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</si>
  <si>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</si>
  <si>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</si>
  <si>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</si>
  <si>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</si>
  <si>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</si>
  <si>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</si>
  <si>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</si>
  <si>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</si>
  <si>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</si>
  <si>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</si>
  <si>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</si>
  <si>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</si>
  <si>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</si>
  <si>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</si>
  <si>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</si>
  <si>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</si>
  <si>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</si>
  <si>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</si>
  <si>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</si>
  <si>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</si>
  <si>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</si>
  <si>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</si>
  <si>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</si>
  <si>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</si>
  <si>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</si>
  <si>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</si>
  <si>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</si>
  <si>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</si>
  <si>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</si>
  <si>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</si>
  <si>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</si>
  <si>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</si>
  <si>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</si>
  <si>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</si>
  <si>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</si>
  <si>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</si>
  <si>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</si>
  <si>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</si>
  <si>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</si>
  <si>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</si>
  <si>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</si>
  <si>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</si>
  <si>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</si>
  <si>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</si>
  <si>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</si>
  <si>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</si>
  <si>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</si>
  <si>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</si>
  <si>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</si>
  <si>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</si>
  <si>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</si>
  <si>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</si>
  <si>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</si>
  <si>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</si>
  <si>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</si>
  <si>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</si>
  <si>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</si>
  <si>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</si>
  <si>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</si>
  <si>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</si>
  <si>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</si>
  <si>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</si>
  <si>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</si>
  <si>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</si>
  <si>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</si>
  <si>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</si>
  <si>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</si>
  <si>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</si>
  <si>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</si>
  <si>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</si>
  <si>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</si>
  <si>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</si>
  <si>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</si>
  <si>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</si>
  <si>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</si>
  <si>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</si>
  <si>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</si>
  <si>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</si>
  <si>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</si>
  <si>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</si>
  <si>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</si>
  <si>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</si>
  <si>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</si>
  <si>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</si>
  <si>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</si>
  <si>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</si>
  <si>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</si>
  <si>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</si>
  <si>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</si>
  <si>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</si>
  <si>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</si>
  <si>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</si>
  <si>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</si>
  <si>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</si>
  <si>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</si>
  <si>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</si>
  <si>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</si>
  <si>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</si>
  <si>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</si>
  <si>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</si>
  <si>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</si>
  <si>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</si>
  <si>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</si>
  <si>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</si>
  <si>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</si>
  <si>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</si>
  <si>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</si>
  <si>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</si>
  <si>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</si>
  <si>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</si>
  <si>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</si>
  <si>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</si>
  <si>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</si>
  <si>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</si>
  <si>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</si>
  <si>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</si>
  <si>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</si>
  <si>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</si>
  <si>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</si>
  <si>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</si>
  <si>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</si>
  <si>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</si>
  <si>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</si>
  <si>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</si>
  <si>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</si>
  <si>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</si>
  <si>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</si>
  <si>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</si>
  <si>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</si>
  <si>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</si>
  <si>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</si>
  <si>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</si>
  <si>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</si>
  <si>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</si>
  <si>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</si>
  <si>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</si>
  <si>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</si>
  <si>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</si>
  <si>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</si>
  <si>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</si>
  <si>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</si>
  <si>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</si>
  <si>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</si>
  <si>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</si>
  <si>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</si>
  <si>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</si>
  <si>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</si>
  <si>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</si>
  <si>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</si>
  <si>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</si>
  <si>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33° MEDIÇÃO</t>
  </si>
  <si>
    <t>32° MEDIÇÃO</t>
  </si>
  <si>
    <t>31° MEDIÇÃO</t>
  </si>
  <si>
    <t>34° MEDIÇÃO</t>
  </si>
  <si>
    <t>35° MEDIÇÃO</t>
  </si>
  <si>
    <t>1° ADITIVO CONTRATUAL</t>
  </si>
  <si>
    <t>2° ADITIVO CONTRATUAL</t>
  </si>
  <si>
    <t>BROCA DE CONCRETO PARA FUNDAÇÃO DE MURO E GRADIL</t>
  </si>
  <si>
    <t>4.2</t>
  </si>
  <si>
    <t>2.1</t>
  </si>
  <si>
    <t>BROCA DE CONCRETO - DIÂMETRO DE 25CM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</si>
  <si>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</si>
  <si>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</si>
  <si>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</si>
  <si>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</si>
  <si>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3.3</t>
  </si>
  <si>
    <t>Cabo 6,00 mm² - isolamento para 1,0 KV - classe 4 - flexível</t>
  </si>
  <si>
    <t>LUMINÁRIA HERMÉTICA EM ALUMÍNIO FUNDIDO PARA LÂMPADA ATÉ 250 W - COM APROVAÇÃO DE ILUME / PMSP.</t>
  </si>
  <si>
    <t>TOTAL DE ILUMINAÇÃO PUBLICA</t>
  </si>
  <si>
    <t>TOTAL DE BROCA DE CONCRETO</t>
  </si>
  <si>
    <t>4.4</t>
  </si>
  <si>
    <t>4.4.1</t>
  </si>
  <si>
    <t>TOTAL DE OAE</t>
  </si>
  <si>
    <t>ADUTORA NA AVENIDA AMÉRICO FIGUEIREDO</t>
  </si>
  <si>
    <t>Tubo de ferro fundido classe k-9 com junta elástica, DN= 250mm, inclusive conexões</t>
  </si>
  <si>
    <t>5.1</t>
  </si>
  <si>
    <t>PÇ</t>
  </si>
  <si>
    <t>TOTAL DE ADUTORA</t>
  </si>
  <si>
    <t>REFERENTE AO MÊS: 01/12/2022 À 31/12/2022</t>
  </si>
  <si>
    <t>DATA DA MEDIÇÃO : 31/12/2022</t>
  </si>
  <si>
    <t>MEDIÇÃO: 25°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</si>
</sst>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_-&quot;R$ &quot;* #,##0.00_-;&quot;-R$ &quot;* #,##0.00_-;_-&quot;R$ &quot;* \-??_-;_-@_-"/>
    <numFmt numFmtId="166" formatCode="#,##0.00_);\(#,##0.00\)"/>
    <numFmt numFmtId="167" formatCode="&quot;R$ &quot;#,##0.00"/>
    <numFmt numFmtId="168" formatCode="#,##0.0000"/>
    <numFmt numFmtId="169" formatCode="_-&quot;R$ &quot;* #,##0.0000_-;&quot;-R$ &quot;* #,##0.0000_-;_-&quot;R$ &quot;* \-??_-;_-@_-"/>
  </numFmts>
  <fonts count="38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4"/>
      <name val="Arial"/>
      <family val="2"/>
    </font>
    <font>
      <sz val="10"/>
      <name val="Arial"/>
      <family val="2"/>
    </font>
    <font>
      <sz val="8"/>
      <name val="MS Sans Serif"/>
      <family val="2"/>
      <charset val="1"/>
    </font>
    <font>
      <b/>
      <sz val="14"/>
      <color rgb="FFFF0000"/>
      <name val="Arial"/>
      <family val="2"/>
      <charset val="1"/>
    </font>
    <font>
      <sz val="14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7D1D5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  <fill>
      <patternFill patternType="solid">
        <fgColor theme="0" tint="-0.14999847407452621"/>
        <bgColor rgb="FFA9D18E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rgb="FFFEC3BE"/>
        <bgColor indexed="64"/>
      </patternFill>
    </fill>
    <fill>
      <patternFill patternType="solid">
        <fgColor rgb="FFFEC3BE"/>
        <bgColor rgb="FFF2F2F2"/>
      </patternFill>
    </fill>
    <fill>
      <patternFill patternType="solid">
        <fgColor rgb="FFFEC3BE"/>
        <bgColor rgb="FFDDDDDD"/>
      </patternFill>
    </fill>
    <fill>
      <patternFill patternType="solid">
        <fgColor rgb="FFFEC3BE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32" fillId="0" borderId="0" applyBorder="0" applyProtection="0"/>
    <xf numFmtId="165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  <xf numFmtId="0" fontId="34" fillId="0" borderId="0"/>
  </cellStyleXfs>
  <cellXfs count="29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5" fontId="11" fillId="0" borderId="10" xfId="2" applyFont="1" applyBorder="1" applyAlignment="1" applyProtection="1">
      <alignment vertical="center"/>
    </xf>
    <xf numFmtId="165" fontId="11" fillId="0" borderId="11" xfId="2" applyFont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" fontId="13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13" fillId="3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vertical="center" shrinkToFit="1"/>
    </xf>
    <xf numFmtId="4" fontId="16" fillId="4" borderId="15" xfId="0" applyNumberFormat="1" applyFont="1" applyFill="1" applyBorder="1" applyAlignment="1">
      <alignment vertical="center"/>
    </xf>
    <xf numFmtId="10" fontId="16" fillId="4" borderId="15" xfId="3" applyNumberFormat="1" applyFont="1" applyFill="1" applyBorder="1" applyAlignment="1" applyProtection="1">
      <alignment vertical="center" shrinkToFit="1"/>
    </xf>
    <xf numFmtId="4" fontId="16" fillId="5" borderId="15" xfId="0" applyNumberFormat="1" applyFont="1" applyFill="1" applyBorder="1" applyAlignment="1">
      <alignment vertical="center"/>
    </xf>
    <xf numFmtId="10" fontId="16" fillId="5" borderId="15" xfId="3" applyNumberFormat="1" applyFont="1" applyFill="1" applyBorder="1" applyAlignment="1" applyProtection="1">
      <alignment vertical="center" shrinkToFit="1"/>
    </xf>
    <xf numFmtId="166" fontId="16" fillId="4" borderId="15" xfId="0" applyNumberFormat="1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/>
    </xf>
    <xf numFmtId="166" fontId="13" fillId="0" borderId="15" xfId="1" applyFont="1" applyBorder="1" applyAlignment="1" applyProtection="1">
      <alignment horizontal="right" vertical="center"/>
    </xf>
    <xf numFmtId="167" fontId="13" fillId="3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Border="1" applyAlignment="1">
      <alignment vertical="center"/>
    </xf>
    <xf numFmtId="2" fontId="13" fillId="0" borderId="15" xfId="3" applyNumberFormat="1" applyFont="1" applyBorder="1" applyAlignment="1" applyProtection="1">
      <alignment vertical="center" shrinkToFit="1"/>
    </xf>
    <xf numFmtId="167" fontId="13" fillId="2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Border="1" applyAlignment="1">
      <alignment vertical="center"/>
    </xf>
    <xf numFmtId="167" fontId="13" fillId="3" borderId="15" xfId="0" applyNumberFormat="1" applyFont="1" applyFill="1" applyBorder="1" applyAlignment="1">
      <alignment vertical="center"/>
    </xf>
    <xf numFmtId="166" fontId="13" fillId="3" borderId="15" xfId="1" applyFont="1" applyFill="1" applyBorder="1" applyAlignment="1" applyProtection="1">
      <alignment horizontal="right" vertical="center"/>
    </xf>
    <xf numFmtId="167" fontId="14" fillId="2" borderId="15" xfId="0" applyNumberFormat="1" applyFont="1" applyFill="1" applyBorder="1" applyAlignment="1">
      <alignment vertical="center"/>
    </xf>
    <xf numFmtId="2" fontId="14" fillId="2" borderId="15" xfId="3" applyNumberFormat="1" applyFont="1" applyFill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vertical="center"/>
    </xf>
    <xf numFmtId="2" fontId="13" fillId="2" borderId="15" xfId="0" applyNumberFormat="1" applyFont="1" applyFill="1" applyBorder="1" applyAlignment="1">
      <alignment vertical="center"/>
    </xf>
    <xf numFmtId="0" fontId="14" fillId="6" borderId="12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166" fontId="13" fillId="3" borderId="15" xfId="1" applyFont="1" applyFill="1" applyBorder="1" applyAlignment="1" applyProtection="1">
      <alignment horizontal="center" vertical="center"/>
    </xf>
    <xf numFmtId="10" fontId="13" fillId="0" borderId="15" xfId="0" applyNumberFormat="1" applyFont="1" applyBorder="1" applyAlignment="1">
      <alignment vertical="center"/>
    </xf>
    <xf numFmtId="167" fontId="14" fillId="0" borderId="15" xfId="0" applyNumberFormat="1" applyFont="1" applyBorder="1" applyAlignment="1">
      <alignment vertical="center"/>
    </xf>
    <xf numFmtId="167" fontId="14" fillId="2" borderId="15" xfId="3" applyNumberFormat="1" applyFont="1" applyFill="1" applyBorder="1" applyAlignment="1" applyProtection="1">
      <alignment vertical="center" shrinkToFit="1"/>
    </xf>
    <xf numFmtId="0" fontId="13" fillId="0" borderId="15" xfId="0" applyFont="1" applyBorder="1" applyAlignment="1">
      <alignment horizontal="left" vertical="center" wrapText="1"/>
    </xf>
    <xf numFmtId="166" fontId="13" fillId="0" borderId="15" xfId="1" applyFont="1" applyBorder="1" applyAlignment="1" applyProtection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10" fontId="13" fillId="2" borderId="15" xfId="0" applyNumberFormat="1" applyFont="1" applyFill="1" applyBorder="1" applyAlignment="1">
      <alignment vertical="center"/>
    </xf>
    <xf numFmtId="4" fontId="17" fillId="7" borderId="0" xfId="0" applyNumberFormat="1" applyFont="1" applyFill="1" applyAlignment="1">
      <alignment horizontal="left"/>
    </xf>
    <xf numFmtId="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4" fontId="13" fillId="8" borderId="15" xfId="0" applyNumberFormat="1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shrinkToFit="1"/>
    </xf>
    <xf numFmtId="2" fontId="13" fillId="3" borderId="15" xfId="3" applyNumberFormat="1" applyFont="1" applyFill="1" applyBorder="1" applyAlignment="1" applyProtection="1">
      <alignment vertical="center" shrinkToFit="1"/>
    </xf>
    <xf numFmtId="2" fontId="13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8" fontId="3" fillId="0" borderId="0" xfId="0" applyNumberFormat="1" applyFont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13" fillId="0" borderId="15" xfId="1" applyFont="1" applyBorder="1" applyAlignment="1" applyProtection="1">
      <alignment horizontal="right" vertical="center" wrapText="1"/>
    </xf>
    <xf numFmtId="167" fontId="13" fillId="0" borderId="15" xfId="1" applyNumberFormat="1" applyFont="1" applyBorder="1" applyAlignment="1" applyProtection="1">
      <alignment horizontal="right" vertical="center" wrapText="1"/>
    </xf>
    <xf numFmtId="167" fontId="13" fillId="3" borderId="15" xfId="1" applyNumberFormat="1" applyFont="1" applyFill="1" applyBorder="1" applyAlignment="1" applyProtection="1">
      <alignment horizontal="right" vertical="center" wrapText="1"/>
    </xf>
    <xf numFmtId="0" fontId="20" fillId="0" borderId="15" xfId="6" applyFont="1" applyBorder="1" applyAlignment="1">
      <alignment vertical="center" wrapText="1"/>
    </xf>
    <xf numFmtId="0" fontId="20" fillId="0" borderId="15" xfId="6" applyFont="1" applyBorder="1" applyAlignment="1">
      <alignment horizontal="center" vertical="center" wrapText="1"/>
    </xf>
    <xf numFmtId="166" fontId="20" fillId="3" borderId="15" xfId="1" applyFont="1" applyFill="1" applyBorder="1" applyAlignment="1" applyProtection="1">
      <alignment vertical="center"/>
    </xf>
    <xf numFmtId="0" fontId="20" fillId="3" borderId="15" xfId="6" applyFont="1" applyFill="1" applyBorder="1" applyAlignment="1">
      <alignment vertical="center" wrapText="1"/>
    </xf>
    <xf numFmtId="0" fontId="20" fillId="3" borderId="15" xfId="6" applyFont="1" applyFill="1" applyBorder="1" applyAlignment="1">
      <alignment horizontal="center" vertical="center" wrapText="1"/>
    </xf>
    <xf numFmtId="4" fontId="13" fillId="3" borderId="15" xfId="4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left" vertical="center" wrapText="1"/>
    </xf>
    <xf numFmtId="4" fontId="18" fillId="0" borderId="0" xfId="0" applyNumberFormat="1" applyFont="1" applyAlignment="1">
      <alignment horizontal="center"/>
    </xf>
    <xf numFmtId="0" fontId="13" fillId="0" borderId="15" xfId="5" applyFont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3" borderId="15" xfId="5" applyFont="1" applyFill="1" applyBorder="1" applyAlignment="1">
      <alignment vertical="center"/>
    </xf>
    <xf numFmtId="0" fontId="13" fillId="3" borderId="15" xfId="5" applyFont="1" applyFill="1" applyBorder="1" applyAlignment="1">
      <alignment horizontal="left" vertical="center" wrapText="1"/>
    </xf>
    <xf numFmtId="164" fontId="13" fillId="3" borderId="15" xfId="7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>
      <alignment vertical="center" wrapText="1"/>
    </xf>
    <xf numFmtId="0" fontId="13" fillId="3" borderId="15" xfId="4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/>
    </xf>
    <xf numFmtId="0" fontId="14" fillId="10" borderId="15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  <xf numFmtId="166" fontId="23" fillId="0" borderId="14" xfId="1" applyFont="1" applyBorder="1" applyAlignment="1" applyProtection="1">
      <alignment horizontal="right" vertical="center"/>
    </xf>
    <xf numFmtId="167" fontId="14" fillId="0" borderId="15" xfId="0" applyNumberFormat="1" applyFont="1" applyBorder="1"/>
    <xf numFmtId="165" fontId="14" fillId="0" borderId="15" xfId="0" applyNumberFormat="1" applyFont="1" applyBorder="1"/>
    <xf numFmtId="165" fontId="14" fillId="2" borderId="15" xfId="0" applyNumberFormat="1" applyFont="1" applyFill="1" applyBorder="1"/>
    <xf numFmtId="167" fontId="14" fillId="2" borderId="15" xfId="0" applyNumberFormat="1" applyFont="1" applyFill="1" applyBorder="1"/>
    <xf numFmtId="10" fontId="5" fillId="0" borderId="15" xfId="0" applyNumberFormat="1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6" fontId="23" fillId="0" borderId="13" xfId="1" applyFont="1" applyBorder="1" applyAlignment="1" applyProtection="1">
      <alignment horizontal="right" vertical="center"/>
    </xf>
    <xf numFmtId="167" fontId="14" fillId="0" borderId="0" xfId="0" applyNumberFormat="1" applyFont="1"/>
    <xf numFmtId="2" fontId="13" fillId="0" borderId="13" xfId="0" applyNumberFormat="1" applyFont="1" applyBorder="1" applyAlignment="1">
      <alignment vertical="center"/>
    </xf>
    <xf numFmtId="165" fontId="14" fillId="0" borderId="0" xfId="0" applyNumberFormat="1" applyFont="1"/>
    <xf numFmtId="167" fontId="14" fillId="3" borderId="0" xfId="0" applyNumberFormat="1" applyFont="1" applyFill="1"/>
    <xf numFmtId="10" fontId="5" fillId="0" borderId="14" xfId="0" applyNumberFormat="1" applyFont="1" applyBorder="1"/>
    <xf numFmtId="0" fontId="13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5" fontId="25" fillId="2" borderId="13" xfId="2" applyFont="1" applyFill="1" applyBorder="1" applyAlignment="1" applyProtection="1">
      <alignment vertical="center"/>
    </xf>
    <xf numFmtId="4" fontId="13" fillId="2" borderId="13" xfId="0" applyNumberFormat="1" applyFont="1" applyFill="1" applyBorder="1"/>
    <xf numFmtId="4" fontId="5" fillId="2" borderId="14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5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5" fontId="27" fillId="0" borderId="0" xfId="2" applyFont="1" applyBorder="1" applyProtection="1"/>
    <xf numFmtId="4" fontId="3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5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5" fontId="1" fillId="11" borderId="0" xfId="2" applyFont="1" applyFill="1" applyBorder="1" applyProtection="1"/>
    <xf numFmtId="165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2" applyFont="1" applyBorder="1" applyAlignment="1" applyProtection="1">
      <alignment horizontal="center" vertical="center"/>
    </xf>
    <xf numFmtId="165" fontId="31" fillId="11" borderId="14" xfId="2" applyFont="1" applyFill="1" applyBorder="1" applyAlignment="1" applyProtection="1">
      <alignment horizontal="center" vertical="center"/>
    </xf>
    <xf numFmtId="4" fontId="13" fillId="12" borderId="15" xfId="0" applyNumberFormat="1" applyFont="1" applyFill="1" applyBorder="1" applyAlignment="1">
      <alignment vertical="center"/>
    </xf>
    <xf numFmtId="4" fontId="13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vertical="center"/>
    </xf>
    <xf numFmtId="167" fontId="33" fillId="0" borderId="15" xfId="0" applyNumberFormat="1" applyFont="1" applyBorder="1" applyAlignment="1">
      <alignment vertical="center"/>
    </xf>
    <xf numFmtId="167" fontId="33" fillId="2" borderId="15" xfId="3" applyNumberFormat="1" applyFont="1" applyFill="1" applyBorder="1" applyAlignment="1" applyProtection="1">
      <alignment vertical="center" shrinkToFit="1"/>
    </xf>
    <xf numFmtId="4" fontId="13" fillId="15" borderId="15" xfId="0" applyNumberFormat="1" applyFont="1" applyFill="1" applyBorder="1" applyAlignment="1">
      <alignment vertical="center"/>
    </xf>
    <xf numFmtId="4" fontId="33" fillId="14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horizontal="center" vertical="center"/>
    </xf>
    <xf numFmtId="4" fontId="13" fillId="14" borderId="15" xfId="0" applyNumberFormat="1" applyFont="1" applyFill="1" applyBorder="1" applyAlignment="1">
      <alignment horizontal="right" vertical="center"/>
    </xf>
    <xf numFmtId="4" fontId="14" fillId="14" borderId="15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4" fillId="16" borderId="15" xfId="0" applyFont="1" applyFill="1" applyBorder="1" applyAlignment="1">
      <alignment horizontal="center" vertical="center" shrinkToFit="1"/>
    </xf>
    <xf numFmtId="0" fontId="14" fillId="16" borderId="12" xfId="0" applyFont="1" applyFill="1" applyBorder="1" applyAlignment="1">
      <alignment vertical="center" wrapText="1"/>
    </xf>
    <xf numFmtId="0" fontId="14" fillId="16" borderId="13" xfId="0" applyFont="1" applyFill="1" applyBorder="1" applyAlignment="1">
      <alignment vertical="center" wrapText="1"/>
    </xf>
    <xf numFmtId="167" fontId="13" fillId="16" borderId="15" xfId="0" applyNumberFormat="1" applyFont="1" applyFill="1" applyBorder="1" applyAlignment="1">
      <alignment vertical="center"/>
    </xf>
    <xf numFmtId="0" fontId="14" fillId="17" borderId="15" xfId="0" applyFont="1" applyFill="1" applyBorder="1" applyAlignment="1">
      <alignment horizontal="center" vertical="center" shrinkToFit="1"/>
    </xf>
    <xf numFmtId="0" fontId="14" fillId="17" borderId="12" xfId="0" applyFont="1" applyFill="1" applyBorder="1" applyAlignment="1">
      <alignment vertical="center" wrapText="1"/>
    </xf>
    <xf numFmtId="0" fontId="14" fillId="17" borderId="13" xfId="0" applyFont="1" applyFill="1" applyBorder="1" applyAlignment="1">
      <alignment vertical="center" wrapText="1"/>
    </xf>
    <xf numFmtId="4" fontId="13" fillId="18" borderId="15" xfId="0" applyNumberFormat="1" applyFont="1" applyFill="1" applyBorder="1" applyAlignment="1">
      <alignment vertical="center"/>
    </xf>
    <xf numFmtId="4" fontId="13" fillId="19" borderId="15" xfId="0" applyNumberFormat="1" applyFont="1" applyFill="1" applyBorder="1" applyAlignment="1">
      <alignment vertical="center"/>
    </xf>
    <xf numFmtId="4" fontId="13" fillId="20" borderId="15" xfId="0" applyNumberFormat="1" applyFont="1" applyFill="1" applyBorder="1" applyAlignment="1">
      <alignment vertical="center"/>
    </xf>
    <xf numFmtId="4" fontId="13" fillId="14" borderId="0" xfId="0" applyNumberFormat="1" applyFont="1" applyFill="1" applyAlignment="1">
      <alignment horizontal="center" vertical="center"/>
    </xf>
    <xf numFmtId="4" fontId="13" fillId="14" borderId="0" xfId="0" applyNumberFormat="1" applyFont="1" applyFill="1" applyAlignment="1">
      <alignment horizontal="right" vertical="center"/>
    </xf>
    <xf numFmtId="4" fontId="13" fillId="14" borderId="0" xfId="0" applyNumberFormat="1" applyFont="1" applyFill="1" applyAlignment="1">
      <alignment vertical="center"/>
    </xf>
    <xf numFmtId="0" fontId="14" fillId="6" borderId="0" xfId="0" applyFont="1" applyFill="1" applyAlignment="1">
      <alignment vertical="center" wrapText="1"/>
    </xf>
    <xf numFmtId="4" fontId="14" fillId="14" borderId="0" xfId="0" applyNumberFormat="1" applyFont="1" applyFill="1" applyAlignment="1">
      <alignment vertical="center"/>
    </xf>
    <xf numFmtId="4" fontId="13" fillId="12" borderId="0" xfId="0" applyNumberFormat="1" applyFont="1" applyFill="1" applyAlignment="1">
      <alignment vertical="center"/>
    </xf>
    <xf numFmtId="4" fontId="13" fillId="13" borderId="0" xfId="0" applyNumberFormat="1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3" fillId="15" borderId="0" xfId="0" applyNumberFormat="1" applyFont="1" applyFill="1" applyAlignment="1">
      <alignment vertical="center"/>
    </xf>
    <xf numFmtId="4" fontId="33" fillId="14" borderId="0" xfId="0" applyNumberFormat="1" applyFont="1" applyFill="1" applyAlignment="1">
      <alignment vertical="center"/>
    </xf>
    <xf numFmtId="4" fontId="19" fillId="13" borderId="0" xfId="0" applyNumberFormat="1" applyFont="1" applyFill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20" borderId="0" xfId="0" applyNumberFormat="1" applyFont="1" applyFill="1" applyAlignment="1">
      <alignment vertical="center"/>
    </xf>
    <xf numFmtId="4" fontId="13" fillId="18" borderId="0" xfId="0" applyNumberFormat="1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3" fillId="2" borderId="0" xfId="0" applyNumberFormat="1" applyFont="1" applyFill="1" applyAlignment="1">
      <alignment vertical="center"/>
    </xf>
    <xf numFmtId="4" fontId="13" fillId="19" borderId="0" xfId="0" applyNumberFormat="1" applyFont="1" applyFill="1" applyAlignment="1">
      <alignment vertical="center"/>
    </xf>
    <xf numFmtId="0" fontId="14" fillId="17" borderId="0" xfId="0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4" fontId="13" fillId="8" borderId="0" xfId="0" applyNumberFormat="1" applyFont="1" applyFill="1" applyAlignment="1">
      <alignment vertical="center"/>
    </xf>
    <xf numFmtId="165" fontId="14" fillId="2" borderId="0" xfId="0" applyNumberFormat="1" applyFont="1" applyFill="1"/>
    <xf numFmtId="10" fontId="14" fillId="6" borderId="14" xfId="0" applyNumberFormat="1" applyFont="1" applyFill="1" applyBorder="1" applyAlignment="1">
      <alignment vertical="center" wrapText="1"/>
    </xf>
    <xf numFmtId="10" fontId="19" fillId="0" borderId="15" xfId="0" applyNumberFormat="1" applyFont="1" applyBorder="1" applyAlignment="1">
      <alignment vertical="center"/>
    </xf>
    <xf numFmtId="10" fontId="13" fillId="9" borderId="15" xfId="0" applyNumberFormat="1" applyFont="1" applyFill="1" applyBorder="1" applyAlignment="1">
      <alignment vertical="center"/>
    </xf>
    <xf numFmtId="10" fontId="14" fillId="17" borderId="14" xfId="0" applyNumberFormat="1" applyFont="1" applyFill="1" applyBorder="1" applyAlignment="1">
      <alignment vertical="center" wrapText="1"/>
    </xf>
    <xf numFmtId="10" fontId="14" fillId="16" borderId="14" xfId="0" applyNumberFormat="1" applyFont="1" applyFill="1" applyBorder="1" applyAlignment="1">
      <alignment vertical="center" wrapText="1"/>
    </xf>
    <xf numFmtId="0" fontId="13" fillId="21" borderId="15" xfId="0" applyFont="1" applyFill="1" applyBorder="1" applyAlignment="1">
      <alignment horizontal="center" vertical="center" shrinkToFit="1"/>
    </xf>
    <xf numFmtId="0" fontId="13" fillId="22" borderId="15" xfId="0" applyFont="1" applyFill="1" applyBorder="1" applyAlignment="1">
      <alignment horizontal="left" vertical="center" wrapText="1"/>
    </xf>
    <xf numFmtId="0" fontId="13" fillId="22" borderId="15" xfId="0" applyFont="1" applyFill="1" applyBorder="1" applyAlignment="1">
      <alignment horizontal="center" vertical="center"/>
    </xf>
    <xf numFmtId="166" fontId="13" fillId="21" borderId="15" xfId="1" applyFont="1" applyFill="1" applyBorder="1" applyAlignment="1" applyProtection="1">
      <alignment horizontal="right" vertical="center"/>
    </xf>
    <xf numFmtId="167" fontId="13" fillId="22" borderId="15" xfId="1" applyNumberFormat="1" applyFont="1" applyFill="1" applyBorder="1" applyAlignment="1" applyProtection="1">
      <alignment horizontal="right" vertical="center"/>
    </xf>
    <xf numFmtId="167" fontId="13" fillId="21" borderId="15" xfId="0" applyNumberFormat="1" applyFont="1" applyFill="1" applyBorder="1" applyAlignment="1">
      <alignment vertical="center"/>
    </xf>
    <xf numFmtId="2" fontId="13" fillId="21" borderId="15" xfId="3" applyNumberFormat="1" applyFont="1" applyFill="1" applyBorder="1" applyAlignment="1" applyProtection="1">
      <alignment vertical="center" shrinkToFit="1"/>
    </xf>
    <xf numFmtId="4" fontId="13" fillId="23" borderId="15" xfId="0" applyNumberFormat="1" applyFont="1" applyFill="1" applyBorder="1" applyAlignment="1">
      <alignment horizontal="center" vertical="center"/>
    </xf>
    <xf numFmtId="167" fontId="13" fillId="23" borderId="15" xfId="3" applyNumberFormat="1" applyFont="1" applyFill="1" applyBorder="1" applyAlignment="1" applyProtection="1">
      <alignment vertical="center" shrinkToFit="1"/>
    </xf>
    <xf numFmtId="2" fontId="13" fillId="21" borderId="15" xfId="0" applyNumberFormat="1" applyFont="1" applyFill="1" applyBorder="1" applyAlignment="1">
      <alignment vertical="center"/>
    </xf>
    <xf numFmtId="167" fontId="13" fillId="22" borderId="15" xfId="0" applyNumberFormat="1" applyFont="1" applyFill="1" applyBorder="1" applyAlignment="1">
      <alignment vertical="center"/>
    </xf>
    <xf numFmtId="10" fontId="13" fillId="21" borderId="15" xfId="0" applyNumberFormat="1" applyFont="1" applyFill="1" applyBorder="1" applyAlignment="1">
      <alignment vertical="center"/>
    </xf>
    <xf numFmtId="0" fontId="13" fillId="21" borderId="15" xfId="0" applyFont="1" applyFill="1" applyBorder="1" applyAlignment="1">
      <alignment horizontal="left" vertical="center" wrapText="1"/>
    </xf>
    <xf numFmtId="0" fontId="13" fillId="21" borderId="15" xfId="0" applyFont="1" applyFill="1" applyBorder="1" applyAlignment="1">
      <alignment horizontal="center" vertical="center"/>
    </xf>
    <xf numFmtId="167" fontId="13" fillId="21" borderId="15" xfId="1" applyNumberFormat="1" applyFont="1" applyFill="1" applyBorder="1" applyAlignment="1" applyProtection="1">
      <alignment horizontal="right" vertical="center"/>
    </xf>
    <xf numFmtId="4" fontId="19" fillId="21" borderId="15" xfId="0" applyNumberFormat="1" applyFont="1" applyFill="1" applyBorder="1" applyAlignment="1">
      <alignment vertical="center"/>
    </xf>
    <xf numFmtId="167" fontId="19" fillId="21" borderId="15" xfId="3" applyNumberFormat="1" applyFont="1" applyFill="1" applyBorder="1" applyAlignment="1" applyProtection="1">
      <alignment vertical="center" shrinkToFit="1"/>
    </xf>
    <xf numFmtId="10" fontId="32" fillId="21" borderId="15" xfId="3" applyNumberFormat="1" applyFill="1" applyBorder="1" applyAlignment="1" applyProtection="1">
      <alignment vertical="center"/>
    </xf>
    <xf numFmtId="167" fontId="14" fillId="21" borderId="15" xfId="0" applyNumberFormat="1" applyFont="1" applyFill="1" applyBorder="1" applyAlignment="1">
      <alignment vertical="center"/>
    </xf>
    <xf numFmtId="4" fontId="13" fillId="23" borderId="15" xfId="0" applyNumberFormat="1" applyFont="1" applyFill="1" applyBorder="1" applyAlignment="1">
      <alignment vertical="center"/>
    </xf>
    <xf numFmtId="167" fontId="14" fillId="23" borderId="15" xfId="3" applyNumberFormat="1" applyFont="1" applyFill="1" applyBorder="1" applyAlignment="1" applyProtection="1">
      <alignment vertical="center" shrinkToFit="1"/>
    </xf>
    <xf numFmtId="4" fontId="19" fillId="24" borderId="15" xfId="0" applyNumberFormat="1" applyFont="1" applyFill="1" applyBorder="1" applyAlignment="1">
      <alignment vertical="center"/>
    </xf>
    <xf numFmtId="167" fontId="19" fillId="23" borderId="15" xfId="3" applyNumberFormat="1" applyFont="1" applyFill="1" applyBorder="1" applyAlignment="1" applyProtection="1">
      <alignment vertical="center" shrinkToFit="1"/>
    </xf>
    <xf numFmtId="4" fontId="13" fillId="24" borderId="15" xfId="0" applyNumberFormat="1" applyFont="1" applyFill="1" applyBorder="1" applyAlignment="1">
      <alignment vertical="center"/>
    </xf>
    <xf numFmtId="4" fontId="13" fillId="21" borderId="15" xfId="0" applyNumberFormat="1" applyFont="1" applyFill="1" applyBorder="1" applyAlignment="1">
      <alignment vertical="center"/>
    </xf>
    <xf numFmtId="167" fontId="13" fillId="21" borderId="15" xfId="3" applyNumberFormat="1" applyFont="1" applyFill="1" applyBorder="1" applyAlignment="1" applyProtection="1">
      <alignment vertical="center" shrinkToFit="1"/>
    </xf>
    <xf numFmtId="166" fontId="13" fillId="21" borderId="15" xfId="1" applyFont="1" applyFill="1" applyBorder="1" applyAlignment="1" applyProtection="1">
      <alignment horizontal="right" vertical="center" wrapText="1"/>
    </xf>
    <xf numFmtId="4" fontId="13" fillId="21" borderId="15" xfId="0" applyNumberFormat="1" applyFont="1" applyFill="1" applyBorder="1" applyAlignment="1">
      <alignment horizontal="center" vertical="center"/>
    </xf>
    <xf numFmtId="167" fontId="14" fillId="21" borderId="15" xfId="3" applyNumberFormat="1" applyFont="1" applyFill="1" applyBorder="1" applyAlignment="1" applyProtection="1">
      <alignment vertical="center" shrinkToFit="1"/>
    </xf>
    <xf numFmtId="166" fontId="13" fillId="22" borderId="15" xfId="1" applyFont="1" applyFill="1" applyBorder="1" applyAlignment="1" applyProtection="1">
      <alignment horizontal="right" vertical="center"/>
    </xf>
    <xf numFmtId="167" fontId="13" fillId="21" borderId="15" xfId="1" applyNumberFormat="1" applyFont="1" applyFill="1" applyBorder="1" applyAlignment="1" applyProtection="1">
      <alignment horizontal="right" vertical="center" wrapText="1"/>
    </xf>
    <xf numFmtId="0" fontId="20" fillId="21" borderId="15" xfId="6" applyFont="1" applyFill="1" applyBorder="1" applyAlignment="1">
      <alignment vertical="center" wrapText="1"/>
    </xf>
    <xf numFmtId="0" fontId="20" fillId="21" borderId="15" xfId="6" applyFont="1" applyFill="1" applyBorder="1" applyAlignment="1">
      <alignment horizontal="center" vertical="center" wrapText="1"/>
    </xf>
    <xf numFmtId="166" fontId="20" fillId="21" borderId="15" xfId="1" applyFont="1" applyFill="1" applyBorder="1" applyAlignment="1" applyProtection="1">
      <alignment vertical="center"/>
    </xf>
    <xf numFmtId="4" fontId="13" fillId="21" borderId="15" xfId="5" applyNumberFormat="1" applyFont="1" applyFill="1" applyBorder="1" applyAlignment="1">
      <alignment vertical="center" wrapText="1"/>
    </xf>
    <xf numFmtId="4" fontId="13" fillId="21" borderId="15" xfId="4" applyNumberFormat="1" applyFont="1" applyFill="1" applyBorder="1" applyAlignment="1">
      <alignment horizontal="center" vertical="center"/>
    </xf>
    <xf numFmtId="166" fontId="13" fillId="21" borderId="15" xfId="1" applyFont="1" applyFill="1" applyBorder="1" applyAlignment="1" applyProtection="1">
      <alignment horizontal="center" vertical="center"/>
    </xf>
    <xf numFmtId="0" fontId="20" fillId="22" borderId="15" xfId="0" applyFont="1" applyFill="1" applyBorder="1" applyAlignment="1">
      <alignment horizontal="left" vertical="center" wrapText="1"/>
    </xf>
    <xf numFmtId="0" fontId="22" fillId="21" borderId="15" xfId="0" applyFont="1" applyFill="1" applyBorder="1" applyAlignment="1">
      <alignment horizontal="left" vertical="center" wrapText="1"/>
    </xf>
    <xf numFmtId="0" fontId="13" fillId="21" borderId="15" xfId="0" applyFont="1" applyFill="1" applyBorder="1" applyAlignment="1">
      <alignment horizontal="center" vertical="center" wrapText="1"/>
    </xf>
    <xf numFmtId="0" fontId="14" fillId="21" borderId="15" xfId="0" applyFont="1" applyFill="1" applyBorder="1" applyAlignment="1">
      <alignment horizontal="center" vertical="center" shrinkToFit="1"/>
    </xf>
    <xf numFmtId="4" fontId="13" fillId="21" borderId="15" xfId="0" applyNumberFormat="1" applyFont="1" applyFill="1" applyBorder="1" applyAlignment="1">
      <alignment horizontal="right" vertical="center"/>
    </xf>
    <xf numFmtId="167" fontId="33" fillId="21" borderId="15" xfId="0" applyNumberFormat="1" applyFont="1" applyFill="1" applyBorder="1" applyAlignment="1">
      <alignment vertical="center"/>
    </xf>
    <xf numFmtId="4" fontId="19" fillId="14" borderId="15" xfId="0" applyNumberFormat="1" applyFont="1" applyFill="1" applyBorder="1" applyAlignment="1">
      <alignment vertical="center"/>
    </xf>
    <xf numFmtId="167" fontId="36" fillId="2" borderId="15" xfId="3" applyNumberFormat="1" applyFont="1" applyFill="1" applyBorder="1" applyAlignment="1" applyProtection="1">
      <alignment vertical="center" shrinkToFit="1"/>
    </xf>
    <xf numFmtId="4" fontId="37" fillId="13" borderId="15" xfId="0" applyNumberFormat="1" applyFont="1" applyFill="1" applyBorder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6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right" vertical="center"/>
    </xf>
    <xf numFmtId="167" fontId="13" fillId="0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Fill="1" applyBorder="1" applyAlignment="1">
      <alignment vertical="center"/>
    </xf>
    <xf numFmtId="2" fontId="13" fillId="0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Fill="1" applyBorder="1" applyAlignment="1">
      <alignment vertical="center"/>
    </xf>
    <xf numFmtId="10" fontId="13" fillId="0" borderId="15" xfId="0" applyNumberFormat="1" applyFont="1" applyFill="1" applyBorder="1" applyAlignment="1">
      <alignment vertical="center"/>
    </xf>
    <xf numFmtId="4" fontId="19" fillId="15" borderId="15" xfId="0" applyNumberFormat="1" applyFont="1" applyFill="1" applyBorder="1" applyAlignment="1">
      <alignment vertical="center"/>
    </xf>
    <xf numFmtId="167" fontId="19" fillId="15" borderId="15" xfId="3" applyNumberFormat="1" applyFont="1" applyFill="1" applyBorder="1" applyAlignment="1" applyProtection="1">
      <alignment vertical="center" shrinkToFit="1"/>
    </xf>
  </cellXfs>
  <cellStyles count="9">
    <cellStyle name="Moeda" xfId="2" builtinId="4"/>
    <cellStyle name="Normal" xfId="0" builtinId="0"/>
    <cellStyle name="Normal 2" xfId="8" xr:uid="{B2392568-B84F-466A-A18F-B10046E09D03}"/>
    <cellStyle name="Normal 2 2" xfId="4" xr:uid="{00000000-0005-0000-0000-000006000000}"/>
    <cellStyle name="Normal 8" xfId="5" xr:uid="{00000000-0005-0000-0000-000007000000}"/>
    <cellStyle name="Normal_Plan1" xfId="6" xr:uid="{00000000-0005-0000-0000-000008000000}"/>
    <cellStyle name="Porcentagem" xfId="3" builtinId="5"/>
    <cellStyle name="Separador de milhares 7" xfId="7" xr:uid="{00000000-0005-0000-0000-000009000000}"/>
    <cellStyle name="Vírgula" xfId="1" builtinId="3"/>
  </cellStyles>
  <dxfs count="6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7D1D5"/>
      <rgbColor rgb="FFDDDDDD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C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1071720</xdr:colOff>
      <xdr:row>3</xdr:row>
      <xdr:rowOff>208167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560" cy="10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2224080</xdr:colOff>
      <xdr:row>3</xdr:row>
      <xdr:rowOff>91545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2680" cy="75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924480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8160" y="35640"/>
          <a:ext cx="276768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MG362"/>
  <sheetViews>
    <sheetView showZeros="0" tabSelected="1" view="pageBreakPreview" zoomScale="50" zoomScaleNormal="80" zoomScaleSheetLayoutView="50" zoomScalePageLayoutView="50" workbookViewId="0">
      <selection activeCell="K9" sqref="K9:N9"/>
    </sheetView>
  </sheetViews>
  <sheetFormatPr defaultColWidth="11.42578125" defaultRowHeight="15" x14ac:dyDescent="0.25"/>
  <cols>
    <col min="1" max="1" width="4" style="1" customWidth="1"/>
    <col min="2" max="2" width="18.140625" style="1" customWidth="1"/>
    <col min="3" max="3" width="85.140625" style="2" customWidth="1"/>
    <col min="4" max="4" width="11" style="3" customWidth="1"/>
    <col min="5" max="5" width="19.42578125" style="4" customWidth="1"/>
    <col min="6" max="6" width="28.7109375" style="4" customWidth="1"/>
    <col min="7" max="7" width="27.140625" style="4" customWidth="1"/>
    <col min="8" max="8" width="16" style="4" customWidth="1"/>
    <col min="9" max="9" width="28.7109375" style="4" customWidth="1"/>
    <col min="10" max="10" width="41.7109375" style="5" customWidth="1"/>
    <col min="11" max="11" width="26.140625" style="6" customWidth="1"/>
    <col min="12" max="12" width="16" style="7" customWidth="1"/>
    <col min="13" max="13" width="28.7109375" style="4" customWidth="1"/>
    <col min="14" max="14" width="20.7109375" style="4" customWidth="1"/>
    <col min="15" max="15" width="11.7109375" style="8" customWidth="1"/>
    <col min="16" max="16" width="19.140625" style="9" customWidth="1"/>
    <col min="17" max="17" width="16.5703125" style="9" customWidth="1"/>
    <col min="18" max="20" width="17" style="9" customWidth="1"/>
    <col min="21" max="21" width="16.7109375" style="9" customWidth="1"/>
    <col min="22" max="22" width="17" style="9" customWidth="1"/>
    <col min="23" max="23" width="16.7109375" style="9" customWidth="1"/>
    <col min="24" max="25" width="17" style="9" customWidth="1"/>
    <col min="26" max="30" width="18" style="9" customWidth="1"/>
    <col min="31" max="31" width="17.85546875" style="9" customWidth="1"/>
    <col min="32" max="32" width="18" style="9" customWidth="1"/>
    <col min="33" max="33" width="17.85546875" style="9" customWidth="1"/>
    <col min="34" max="34" width="18" style="9" customWidth="1"/>
    <col min="35" max="35" width="18" style="10" customWidth="1"/>
    <col min="36" max="36" width="27" style="3" customWidth="1"/>
    <col min="37" max="51" width="20.7109375" style="3" customWidth="1"/>
    <col min="52" max="1021" width="11.42578125" style="3"/>
  </cols>
  <sheetData>
    <row r="1" spans="1:51" s="10" customFormat="1" ht="26.25" x14ac:dyDescent="0.25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11"/>
      <c r="O1" s="8"/>
      <c r="P1" s="9"/>
      <c r="Q1" s="9"/>
      <c r="R1" s="9"/>
      <c r="S1" s="9"/>
      <c r="T1" s="9"/>
      <c r="U1" s="9"/>
      <c r="V1" s="9" t="s">
        <v>1</v>
      </c>
      <c r="W1" s="9"/>
      <c r="X1" s="9"/>
      <c r="Y1" s="9"/>
      <c r="Z1" s="9"/>
      <c r="AA1" s="9"/>
      <c r="AB1" s="9"/>
      <c r="AC1" s="9"/>
      <c r="AD1" s="13"/>
      <c r="AE1" s="13"/>
      <c r="AF1" s="13"/>
      <c r="AG1" s="9"/>
      <c r="AH1" s="9"/>
    </row>
    <row r="2" spans="1:51" s="10" customFormat="1" ht="15.75" x14ac:dyDescent="0.25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14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3"/>
      <c r="AE2" s="13"/>
      <c r="AF2" s="13"/>
      <c r="AG2" s="9"/>
      <c r="AH2" s="9"/>
    </row>
    <row r="3" spans="1:51" s="10" customFormat="1" ht="26.25" x14ac:dyDescent="0.2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14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"/>
      <c r="AE3" s="13"/>
      <c r="AF3" s="13"/>
      <c r="AG3" s="9"/>
      <c r="AH3" s="9"/>
    </row>
    <row r="4" spans="1:51" s="10" customFormat="1" ht="17.25" thickBot="1" x14ac:dyDescent="0.3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"/>
      <c r="AE4" s="13"/>
      <c r="AF4" s="13"/>
      <c r="AG4" s="9"/>
      <c r="AH4" s="9"/>
    </row>
    <row r="5" spans="1:51" s="10" customFormat="1" ht="33.75" customHeight="1" x14ac:dyDescent="0.25">
      <c r="A5" s="279" t="s">
        <v>3</v>
      </c>
      <c r="B5" s="279"/>
      <c r="C5" s="279"/>
      <c r="D5" s="279"/>
      <c r="E5" s="23"/>
      <c r="F5" s="24"/>
      <c r="G5" s="280"/>
      <c r="H5" s="280"/>
      <c r="I5" s="23" t="s">
        <v>4</v>
      </c>
      <c r="J5" s="23"/>
      <c r="K5" s="281" t="s">
        <v>660</v>
      </c>
      <c r="L5" s="281"/>
      <c r="M5" s="281"/>
      <c r="N5" s="281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"/>
      <c r="AE5" s="13"/>
      <c r="AF5" s="13"/>
      <c r="AG5" s="9"/>
      <c r="AH5" s="9"/>
    </row>
    <row r="6" spans="1:51" s="10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"/>
      <c r="AE6" s="13"/>
      <c r="AF6" s="13"/>
      <c r="AG6" s="9"/>
      <c r="AH6" s="9"/>
    </row>
    <row r="7" spans="1:51" s="10" customFormat="1" ht="33.75" customHeight="1" x14ac:dyDescent="0.25">
      <c r="A7" s="282" t="s">
        <v>5</v>
      </c>
      <c r="B7" s="282"/>
      <c r="C7" s="282"/>
      <c r="D7" s="282"/>
      <c r="E7" s="282"/>
      <c r="F7" s="282"/>
      <c r="G7" s="282"/>
      <c r="H7" s="282"/>
      <c r="I7" s="282"/>
      <c r="J7" s="24"/>
      <c r="K7" s="281" t="s">
        <v>658</v>
      </c>
      <c r="L7" s="281"/>
      <c r="M7" s="281"/>
      <c r="N7" s="281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"/>
      <c r="AE7" s="13"/>
      <c r="AF7" s="13"/>
      <c r="AG7" s="9"/>
      <c r="AH7" s="9"/>
    </row>
    <row r="8" spans="1:51" s="10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3"/>
      <c r="AE8" s="13"/>
      <c r="AF8" s="13"/>
      <c r="AG8" s="9"/>
      <c r="AH8" s="9"/>
    </row>
    <row r="9" spans="1:51" s="10" customFormat="1" ht="33.75" customHeight="1" x14ac:dyDescent="0.25">
      <c r="A9" s="31" t="s">
        <v>6</v>
      </c>
      <c r="B9" s="32"/>
      <c r="C9" s="32"/>
      <c r="D9" s="32"/>
      <c r="E9" s="32"/>
      <c r="F9" s="32"/>
      <c r="G9" s="32"/>
      <c r="H9" s="32"/>
      <c r="I9" s="32"/>
      <c r="J9" s="33"/>
      <c r="K9" s="283" t="s">
        <v>659</v>
      </c>
      <c r="L9" s="283"/>
      <c r="M9" s="283"/>
      <c r="N9" s="283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3"/>
      <c r="AE9" s="13"/>
      <c r="AF9" s="13"/>
      <c r="AG9" s="9"/>
      <c r="AH9" s="9"/>
    </row>
    <row r="10" spans="1:51" s="10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3"/>
      <c r="AE10" s="13"/>
      <c r="AF10" s="13"/>
      <c r="AG10" s="9"/>
      <c r="AH10" s="9"/>
    </row>
    <row r="11" spans="1:51" s="52" customFormat="1" ht="36" customHeight="1" x14ac:dyDescent="0.25">
      <c r="A11" s="284" t="s">
        <v>7</v>
      </c>
      <c r="B11" s="284"/>
      <c r="C11" s="44" t="s">
        <v>8</v>
      </c>
      <c r="D11" s="43" t="s">
        <v>9</v>
      </c>
      <c r="E11" s="45" t="s">
        <v>10</v>
      </c>
      <c r="F11" s="45" t="s">
        <v>11</v>
      </c>
      <c r="G11" s="45" t="s">
        <v>12</v>
      </c>
      <c r="H11" s="45" t="s">
        <v>13</v>
      </c>
      <c r="I11" s="45" t="s">
        <v>14</v>
      </c>
      <c r="J11" s="46" t="s">
        <v>15</v>
      </c>
      <c r="K11" s="47" t="s">
        <v>16</v>
      </c>
      <c r="L11" s="48" t="s">
        <v>17</v>
      </c>
      <c r="M11" s="49" t="s">
        <v>18</v>
      </c>
      <c r="N11" s="45" t="s">
        <v>19</v>
      </c>
      <c r="O11" s="8"/>
      <c r="P11" s="50" t="s">
        <v>20</v>
      </c>
      <c r="Q11" s="50" t="s">
        <v>21</v>
      </c>
      <c r="R11" s="50" t="s">
        <v>22</v>
      </c>
      <c r="S11" s="50" t="s">
        <v>23</v>
      </c>
      <c r="T11" s="50" t="s">
        <v>24</v>
      </c>
      <c r="U11" s="50" t="s">
        <v>25</v>
      </c>
      <c r="V11" s="50" t="s">
        <v>26</v>
      </c>
      <c r="W11" s="50" t="s">
        <v>27</v>
      </c>
      <c r="X11" s="51" t="s">
        <v>28</v>
      </c>
      <c r="Y11" s="51" t="s">
        <v>29</v>
      </c>
      <c r="Z11" s="51" t="s">
        <v>30</v>
      </c>
      <c r="AA11" s="51" t="s">
        <v>31</v>
      </c>
      <c r="AB11" s="51" t="s">
        <v>32</v>
      </c>
      <c r="AC11" s="51" t="s">
        <v>33</v>
      </c>
      <c r="AD11" s="51" t="s">
        <v>34</v>
      </c>
      <c r="AE11" s="51" t="s">
        <v>35</v>
      </c>
      <c r="AF11" s="51" t="s">
        <v>36</v>
      </c>
      <c r="AG11" s="51" t="s">
        <v>37</v>
      </c>
      <c r="AH11" s="51" t="s">
        <v>38</v>
      </c>
      <c r="AI11" s="51" t="s">
        <v>39</v>
      </c>
      <c r="AJ11" s="51" t="s">
        <v>619</v>
      </c>
      <c r="AK11" s="51" t="s">
        <v>620</v>
      </c>
      <c r="AL11" s="51" t="s">
        <v>621</v>
      </c>
      <c r="AM11" s="51" t="s">
        <v>622</v>
      </c>
      <c r="AN11" s="51" t="s">
        <v>623</v>
      </c>
      <c r="AO11" s="51" t="s">
        <v>624</v>
      </c>
      <c r="AP11" s="51" t="s">
        <v>625</v>
      </c>
      <c r="AQ11" s="51" t="s">
        <v>626</v>
      </c>
      <c r="AR11" s="51" t="s">
        <v>627</v>
      </c>
      <c r="AS11" s="51" t="s">
        <v>628</v>
      </c>
      <c r="AT11" s="51" t="s">
        <v>629</v>
      </c>
      <c r="AU11" s="51" t="s">
        <v>632</v>
      </c>
      <c r="AV11" s="51" t="s">
        <v>631</v>
      </c>
      <c r="AW11" s="51" t="s">
        <v>630</v>
      </c>
      <c r="AX11" s="51" t="s">
        <v>633</v>
      </c>
      <c r="AY11" s="51" t="s">
        <v>634</v>
      </c>
    </row>
    <row r="12" spans="1:51" s="10" customFormat="1" ht="18" x14ac:dyDescent="0.25">
      <c r="A12" s="53"/>
      <c r="B12" s="53"/>
      <c r="C12" s="54"/>
      <c r="D12" s="55"/>
      <c r="E12" s="56"/>
      <c r="F12" s="57"/>
      <c r="G12" s="56"/>
      <c r="H12" s="56"/>
      <c r="I12" s="56"/>
      <c r="J12" s="58"/>
      <c r="K12" s="59" t="str">
        <f>IF(G12=0,"",M12/G12)</f>
        <v/>
      </c>
      <c r="L12" s="57"/>
      <c r="M12" s="56"/>
      <c r="N12" s="56">
        <f>E12-L12</f>
        <v>0</v>
      </c>
      <c r="O12" s="8"/>
      <c r="P12" s="9">
        <f t="shared" ref="P12:P14" si="0">SUM(Q12:AH12)</f>
        <v>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3"/>
      <c r="AE12" s="13"/>
      <c r="AF12" s="13"/>
      <c r="AG12" s="9"/>
      <c r="AH12" s="9"/>
    </row>
    <row r="13" spans="1:51" s="10" customFormat="1" ht="39.950000000000003" customHeight="1" x14ac:dyDescent="0.25">
      <c r="A13" s="60">
        <v>1</v>
      </c>
      <c r="B13" s="60"/>
      <c r="C13" s="61" t="s">
        <v>40</v>
      </c>
      <c r="D13" s="62"/>
      <c r="E13" s="63"/>
      <c r="F13" s="63"/>
      <c r="G13" s="63">
        <f>E13*F13</f>
        <v>0</v>
      </c>
      <c r="H13" s="64" t="str">
        <f>IF(E13=0,"",I13/E13)</f>
        <v/>
      </c>
      <c r="I13" s="63">
        <f>Q13</f>
        <v>0</v>
      </c>
      <c r="J13" s="65">
        <f>I13*F13</f>
        <v>0</v>
      </c>
      <c r="K13" s="66" t="str">
        <f>IF(G13=0,"",M13/G13)</f>
        <v/>
      </c>
      <c r="L13" s="67">
        <f>P13</f>
        <v>0</v>
      </c>
      <c r="M13" s="63">
        <f>L13*F13</f>
        <v>0</v>
      </c>
      <c r="N13" s="63">
        <f>E13-L13</f>
        <v>0</v>
      </c>
      <c r="O13" s="8"/>
      <c r="P13" s="9">
        <f t="shared" si="0"/>
        <v>0</v>
      </c>
      <c r="Q13" s="9"/>
      <c r="R13" s="9"/>
      <c r="S13" s="9"/>
      <c r="T13" s="9"/>
      <c r="U13" s="9"/>
      <c r="V13" s="9"/>
      <c r="W13" s="9"/>
      <c r="X13" s="9"/>
      <c r="Y13" s="9"/>
      <c r="Z13" s="9">
        <v>0</v>
      </c>
      <c r="AA13" s="9"/>
      <c r="AB13" s="9"/>
      <c r="AC13" s="9"/>
      <c r="AD13" s="13"/>
      <c r="AE13" s="13"/>
      <c r="AF13" s="13"/>
      <c r="AG13" s="9"/>
      <c r="AH13" s="9"/>
    </row>
    <row r="14" spans="1:51" s="10" customFormat="1" ht="18.75" customHeight="1" x14ac:dyDescent="0.25">
      <c r="A14" s="68">
        <v>1</v>
      </c>
      <c r="B14" s="68" t="s">
        <v>41</v>
      </c>
      <c r="C14" s="285" t="s">
        <v>42</v>
      </c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8"/>
      <c r="P14" s="9">
        <f t="shared" si="0"/>
        <v>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51" s="10" customFormat="1" ht="39.950000000000003" customHeight="1" x14ac:dyDescent="0.25">
      <c r="A15" s="55">
        <v>1</v>
      </c>
      <c r="B15" s="55" t="s">
        <v>43</v>
      </c>
      <c r="C15" s="69" t="s">
        <v>44</v>
      </c>
      <c r="D15" s="70" t="s">
        <v>45</v>
      </c>
      <c r="E15" s="71">
        <v>101.5</v>
      </c>
      <c r="F15" s="72">
        <v>92.26</v>
      </c>
      <c r="G15" s="73">
        <f t="shared" ref="G15:G24" si="1">ROUND(E15*F15,2)</f>
        <v>9364.39</v>
      </c>
      <c r="H15" s="74">
        <f t="shared" ref="H15:H24" si="2">P15+J15</f>
        <v>101.5</v>
      </c>
      <c r="I15" s="73">
        <f t="shared" ref="I15:I24" si="3">ROUND(H15*F15,2)</f>
        <v>9364.39</v>
      </c>
      <c r="J15" s="186"/>
      <c r="K15" s="75">
        <f t="shared" ref="K15:K24" si="4">ROUND(J15*F15,2)</f>
        <v>0</v>
      </c>
      <c r="L15" s="76">
        <f t="shared" ref="L15:L24" si="5">E15-H15</f>
        <v>0</v>
      </c>
      <c r="M15" s="77">
        <f t="shared" ref="M15:M24" si="6">ROUND(G15-I15,2)</f>
        <v>0</v>
      </c>
      <c r="N15" s="86">
        <f t="shared" ref="N15:N25" si="7">IF(G15=0,"",I15/G15)</f>
        <v>1</v>
      </c>
      <c r="O15" s="8"/>
      <c r="P15" s="9">
        <f>SUM(Q15:AX15)</f>
        <v>101.5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101.5</v>
      </c>
      <c r="AC15" s="9"/>
      <c r="AD15" s="9"/>
      <c r="AE15" s="9"/>
      <c r="AF15" s="9"/>
      <c r="AG15" s="9"/>
      <c r="AH15" s="9"/>
      <c r="AL15" s="200"/>
      <c r="AM15" s="200"/>
      <c r="AN15" s="200"/>
    </row>
    <row r="16" spans="1:51" s="10" customFormat="1" ht="39.950000000000003" hidden="1" customHeight="1" x14ac:dyDescent="0.25">
      <c r="A16" s="226">
        <v>1</v>
      </c>
      <c r="B16" s="226" t="s">
        <v>46</v>
      </c>
      <c r="C16" s="227" t="s">
        <v>47</v>
      </c>
      <c r="D16" s="228" t="s">
        <v>45</v>
      </c>
      <c r="E16" s="229">
        <v>0</v>
      </c>
      <c r="F16" s="230">
        <v>144</v>
      </c>
      <c r="G16" s="231">
        <f t="shared" si="1"/>
        <v>0</v>
      </c>
      <c r="H16" s="232">
        <f t="shared" si="2"/>
        <v>0</v>
      </c>
      <c r="I16" s="231">
        <f t="shared" si="3"/>
        <v>0</v>
      </c>
      <c r="J16" s="233"/>
      <c r="K16" s="234">
        <f t="shared" si="4"/>
        <v>0</v>
      </c>
      <c r="L16" s="235">
        <f t="shared" si="5"/>
        <v>0</v>
      </c>
      <c r="M16" s="236">
        <f t="shared" si="6"/>
        <v>0</v>
      </c>
      <c r="N16" s="237" t="str">
        <f t="shared" si="7"/>
        <v/>
      </c>
      <c r="O16" s="8"/>
      <c r="P16" s="9">
        <f t="shared" ref="P16:P79" si="8">SUM(Q16:AX16)</f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L16" s="200"/>
      <c r="AM16" s="200"/>
      <c r="AN16" s="200"/>
    </row>
    <row r="17" spans="1:40" s="10" customFormat="1" ht="39.950000000000003" customHeight="1" x14ac:dyDescent="0.25">
      <c r="A17" s="55">
        <v>1</v>
      </c>
      <c r="B17" s="55" t="s">
        <v>48</v>
      </c>
      <c r="C17" s="69" t="s">
        <v>49</v>
      </c>
      <c r="D17" s="70" t="s">
        <v>50</v>
      </c>
      <c r="E17" s="71">
        <v>5</v>
      </c>
      <c r="F17" s="72">
        <v>2567.1999999999998</v>
      </c>
      <c r="G17" s="73">
        <f t="shared" si="1"/>
        <v>12836</v>
      </c>
      <c r="H17" s="74">
        <f t="shared" si="2"/>
        <v>5</v>
      </c>
      <c r="I17" s="73">
        <f t="shared" si="3"/>
        <v>12836</v>
      </c>
      <c r="J17" s="186"/>
      <c r="K17" s="75">
        <f t="shared" si="4"/>
        <v>0</v>
      </c>
      <c r="L17" s="76">
        <f t="shared" si="5"/>
        <v>0</v>
      </c>
      <c r="M17" s="77">
        <f t="shared" si="6"/>
        <v>0</v>
      </c>
      <c r="N17" s="86">
        <f t="shared" si="7"/>
        <v>1</v>
      </c>
      <c r="O17" s="8"/>
      <c r="P17" s="9">
        <f t="shared" si="8"/>
        <v>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K17" s="10">
        <v>5</v>
      </c>
      <c r="AL17" s="200"/>
      <c r="AM17" s="200"/>
      <c r="AN17" s="200"/>
    </row>
    <row r="18" spans="1:40" s="10" customFormat="1" ht="39.950000000000003" customHeight="1" x14ac:dyDescent="0.25">
      <c r="A18" s="55">
        <v>1</v>
      </c>
      <c r="B18" s="55" t="s">
        <v>51</v>
      </c>
      <c r="C18" s="69" t="s">
        <v>52</v>
      </c>
      <c r="D18" s="70" t="s">
        <v>50</v>
      </c>
      <c r="E18" s="71">
        <v>3</v>
      </c>
      <c r="F18" s="72">
        <v>2567.1999999999998</v>
      </c>
      <c r="G18" s="73">
        <f t="shared" si="1"/>
        <v>7701.6</v>
      </c>
      <c r="H18" s="74">
        <f t="shared" si="2"/>
        <v>3</v>
      </c>
      <c r="I18" s="73">
        <f t="shared" si="3"/>
        <v>7701.6</v>
      </c>
      <c r="J18" s="186"/>
      <c r="K18" s="75">
        <f t="shared" si="4"/>
        <v>0</v>
      </c>
      <c r="L18" s="76">
        <f t="shared" si="5"/>
        <v>0</v>
      </c>
      <c r="M18" s="77">
        <f t="shared" si="6"/>
        <v>0</v>
      </c>
      <c r="N18" s="86">
        <f t="shared" si="7"/>
        <v>1</v>
      </c>
      <c r="O18" s="8"/>
      <c r="P18" s="9">
        <f t="shared" si="8"/>
        <v>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3</v>
      </c>
      <c r="AC18" s="9"/>
      <c r="AD18" s="9"/>
      <c r="AE18" s="9"/>
      <c r="AF18" s="9"/>
      <c r="AG18" s="9"/>
      <c r="AH18" s="9"/>
      <c r="AL18" s="200"/>
      <c r="AM18" s="200"/>
      <c r="AN18" s="200"/>
    </row>
    <row r="19" spans="1:40" s="10" customFormat="1" ht="39.950000000000003" customHeight="1" x14ac:dyDescent="0.25">
      <c r="A19" s="55">
        <v>1</v>
      </c>
      <c r="B19" s="55" t="s">
        <v>53</v>
      </c>
      <c r="C19" s="69" t="s">
        <v>54</v>
      </c>
      <c r="D19" s="70" t="s">
        <v>50</v>
      </c>
      <c r="E19" s="71">
        <v>6</v>
      </c>
      <c r="F19" s="72">
        <v>2567.1999999999998</v>
      </c>
      <c r="G19" s="73">
        <f t="shared" si="1"/>
        <v>15403.2</v>
      </c>
      <c r="H19" s="74">
        <f t="shared" si="2"/>
        <v>6</v>
      </c>
      <c r="I19" s="73">
        <f t="shared" si="3"/>
        <v>15403.2</v>
      </c>
      <c r="J19" s="186"/>
      <c r="K19" s="75">
        <f t="shared" si="4"/>
        <v>0</v>
      </c>
      <c r="L19" s="76">
        <f t="shared" si="5"/>
        <v>0</v>
      </c>
      <c r="M19" s="77">
        <f t="shared" si="6"/>
        <v>0</v>
      </c>
      <c r="N19" s="86">
        <f t="shared" si="7"/>
        <v>1</v>
      </c>
      <c r="O19" s="8"/>
      <c r="P19" s="9">
        <f t="shared" si="8"/>
        <v>6</v>
      </c>
      <c r="Q19" s="9"/>
      <c r="R19" s="9"/>
      <c r="S19" s="9"/>
      <c r="T19" s="9">
        <v>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L19" s="200"/>
      <c r="AM19" s="200"/>
      <c r="AN19" s="200"/>
    </row>
    <row r="20" spans="1:40" s="10" customFormat="1" ht="39.950000000000003" customHeight="1" x14ac:dyDescent="0.25">
      <c r="A20" s="55">
        <v>1</v>
      </c>
      <c r="B20" s="55" t="s">
        <v>55</v>
      </c>
      <c r="C20" s="69" t="s">
        <v>56</v>
      </c>
      <c r="D20" s="70" t="s">
        <v>50</v>
      </c>
      <c r="E20" s="71">
        <v>7</v>
      </c>
      <c r="F20" s="72">
        <v>2567.1999999999998</v>
      </c>
      <c r="G20" s="73">
        <f t="shared" si="1"/>
        <v>17970.400000000001</v>
      </c>
      <c r="H20" s="74">
        <f t="shared" si="2"/>
        <v>7</v>
      </c>
      <c r="I20" s="73">
        <f t="shared" si="3"/>
        <v>17970.400000000001</v>
      </c>
      <c r="J20" s="186"/>
      <c r="K20" s="75">
        <f t="shared" si="4"/>
        <v>0</v>
      </c>
      <c r="L20" s="76">
        <f t="shared" si="5"/>
        <v>0</v>
      </c>
      <c r="M20" s="77">
        <f t="shared" si="6"/>
        <v>0</v>
      </c>
      <c r="N20" s="86">
        <f t="shared" si="7"/>
        <v>1</v>
      </c>
      <c r="O20" s="8"/>
      <c r="P20" s="9">
        <f t="shared" si="8"/>
        <v>7</v>
      </c>
      <c r="Q20" s="9"/>
      <c r="R20" s="9"/>
      <c r="S20" s="9">
        <v>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L20" s="200"/>
      <c r="AM20" s="200"/>
      <c r="AN20" s="200"/>
    </row>
    <row r="21" spans="1:40" s="10" customFormat="1" ht="39.950000000000003" customHeight="1" x14ac:dyDescent="0.25">
      <c r="A21" s="55">
        <v>1</v>
      </c>
      <c r="B21" s="55" t="s">
        <v>57</v>
      </c>
      <c r="C21" s="69" t="s">
        <v>58</v>
      </c>
      <c r="D21" s="70" t="s">
        <v>50</v>
      </c>
      <c r="E21" s="78">
        <v>2</v>
      </c>
      <c r="F21" s="72">
        <v>2567.1999999999998</v>
      </c>
      <c r="G21" s="73">
        <f t="shared" si="1"/>
        <v>5134.3999999999996</v>
      </c>
      <c r="H21" s="74">
        <f t="shared" si="2"/>
        <v>2</v>
      </c>
      <c r="I21" s="73">
        <f t="shared" si="3"/>
        <v>5134.3999999999996</v>
      </c>
      <c r="J21" s="187"/>
      <c r="K21" s="75">
        <f t="shared" si="4"/>
        <v>0</v>
      </c>
      <c r="L21" s="76">
        <f t="shared" si="5"/>
        <v>0</v>
      </c>
      <c r="M21" s="77">
        <f t="shared" si="6"/>
        <v>0</v>
      </c>
      <c r="N21" s="86">
        <f t="shared" si="7"/>
        <v>1</v>
      </c>
      <c r="O21" s="8"/>
      <c r="P21" s="9">
        <f t="shared" si="8"/>
        <v>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2</v>
      </c>
      <c r="AE21" s="9"/>
      <c r="AF21" s="9"/>
      <c r="AG21" s="9"/>
      <c r="AH21" s="9"/>
      <c r="AL21" s="201"/>
      <c r="AM21" s="201"/>
      <c r="AN21" s="201"/>
    </row>
    <row r="22" spans="1:40" s="10" customFormat="1" ht="39.950000000000003" customHeight="1" x14ac:dyDescent="0.25">
      <c r="A22" s="55">
        <v>1</v>
      </c>
      <c r="B22" s="55" t="s">
        <v>59</v>
      </c>
      <c r="C22" s="69" t="s">
        <v>60</v>
      </c>
      <c r="D22" s="70" t="s">
        <v>50</v>
      </c>
      <c r="E22" s="78">
        <v>3</v>
      </c>
      <c r="F22" s="72">
        <v>1027</v>
      </c>
      <c r="G22" s="73">
        <f t="shared" si="1"/>
        <v>3081</v>
      </c>
      <c r="H22" s="74">
        <f t="shared" si="2"/>
        <v>0</v>
      </c>
      <c r="I22" s="73">
        <f t="shared" si="3"/>
        <v>0</v>
      </c>
      <c r="J22" s="186"/>
      <c r="K22" s="75">
        <f t="shared" si="4"/>
        <v>0</v>
      </c>
      <c r="L22" s="76">
        <f t="shared" si="5"/>
        <v>3</v>
      </c>
      <c r="M22" s="77">
        <f t="shared" si="6"/>
        <v>3081</v>
      </c>
      <c r="N22" s="86">
        <f t="shared" si="7"/>
        <v>0</v>
      </c>
      <c r="O22" s="8"/>
      <c r="P22" s="9">
        <f t="shared" si="8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L22" s="200"/>
      <c r="AM22" s="200"/>
      <c r="AN22" s="200"/>
    </row>
    <row r="23" spans="1:40" s="10" customFormat="1" ht="39.950000000000003" customHeight="1" x14ac:dyDescent="0.25">
      <c r="A23" s="55">
        <v>1</v>
      </c>
      <c r="B23" s="55" t="s">
        <v>61</v>
      </c>
      <c r="C23" s="69" t="s">
        <v>62</v>
      </c>
      <c r="D23" s="70" t="s">
        <v>50</v>
      </c>
      <c r="E23" s="71">
        <v>5</v>
      </c>
      <c r="F23" s="72">
        <v>1027</v>
      </c>
      <c r="G23" s="73">
        <f t="shared" si="1"/>
        <v>5135</v>
      </c>
      <c r="H23" s="74">
        <f t="shared" si="2"/>
        <v>0</v>
      </c>
      <c r="I23" s="73">
        <f t="shared" si="3"/>
        <v>0</v>
      </c>
      <c r="J23" s="186"/>
      <c r="K23" s="75">
        <f t="shared" si="4"/>
        <v>0</v>
      </c>
      <c r="L23" s="76">
        <f t="shared" si="5"/>
        <v>5</v>
      </c>
      <c r="M23" s="77">
        <f t="shared" si="6"/>
        <v>5135</v>
      </c>
      <c r="N23" s="86">
        <f t="shared" si="7"/>
        <v>0</v>
      </c>
      <c r="O23" s="8"/>
      <c r="P23" s="9">
        <f t="shared" si="8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L23" s="200"/>
      <c r="AM23" s="200"/>
      <c r="AN23" s="200"/>
    </row>
    <row r="24" spans="1:40" s="10" customFormat="1" ht="39.950000000000003" customHeight="1" x14ac:dyDescent="0.25">
      <c r="A24" s="55">
        <v>1</v>
      </c>
      <c r="B24" s="55" t="s">
        <v>63</v>
      </c>
      <c r="C24" s="69" t="s">
        <v>64</v>
      </c>
      <c r="D24" s="70" t="s">
        <v>65</v>
      </c>
      <c r="E24" s="71">
        <v>5</v>
      </c>
      <c r="F24" s="72">
        <v>1027</v>
      </c>
      <c r="G24" s="73">
        <f t="shared" si="1"/>
        <v>5135</v>
      </c>
      <c r="H24" s="74">
        <f t="shared" si="2"/>
        <v>0</v>
      </c>
      <c r="I24" s="73">
        <f t="shared" si="3"/>
        <v>0</v>
      </c>
      <c r="J24" s="186"/>
      <c r="K24" s="75">
        <f t="shared" si="4"/>
        <v>0</v>
      </c>
      <c r="L24" s="76">
        <f t="shared" si="5"/>
        <v>5</v>
      </c>
      <c r="M24" s="77">
        <f t="shared" si="6"/>
        <v>5135</v>
      </c>
      <c r="N24" s="86">
        <f t="shared" si="7"/>
        <v>0</v>
      </c>
      <c r="O24" s="8"/>
      <c r="P24" s="9">
        <f t="shared" si="8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L24" s="200"/>
      <c r="AM24" s="200"/>
      <c r="AN24" s="200"/>
    </row>
    <row r="25" spans="1:40" s="10" customFormat="1" ht="39.950000000000003" customHeight="1" x14ac:dyDescent="0.25">
      <c r="A25" s="274" t="s">
        <v>66</v>
      </c>
      <c r="B25" s="274"/>
      <c r="C25" s="274"/>
      <c r="D25" s="274"/>
      <c r="E25" s="274"/>
      <c r="F25" s="274"/>
      <c r="G25" s="79">
        <f>SUM(G15:G24)</f>
        <v>81760.990000000005</v>
      </c>
      <c r="H25" s="80"/>
      <c r="I25" s="79">
        <f>SUM(I15:I24)</f>
        <v>68409.990000000005</v>
      </c>
      <c r="J25" s="181"/>
      <c r="K25" s="79">
        <f>SUM(K15:K24)</f>
        <v>0</v>
      </c>
      <c r="L25" s="82"/>
      <c r="M25" s="79">
        <f>SUM(M15:M24)</f>
        <v>13351</v>
      </c>
      <c r="N25" s="93">
        <f t="shared" si="7"/>
        <v>0.83670696746700357</v>
      </c>
      <c r="O25" s="8"/>
      <c r="P25" s="9">
        <f t="shared" si="8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L25" s="202"/>
      <c r="AM25" s="202"/>
      <c r="AN25" s="202"/>
    </row>
    <row r="26" spans="1:40" s="10" customFormat="1" ht="39.950000000000003" customHeight="1" x14ac:dyDescent="0.25">
      <c r="A26" s="68">
        <v>1</v>
      </c>
      <c r="B26" s="68" t="s">
        <v>67</v>
      </c>
      <c r="C26" s="83" t="s">
        <v>68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221"/>
      <c r="O26" s="8"/>
      <c r="P26" s="9">
        <f t="shared" si="8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L26" s="203"/>
      <c r="AM26" s="203"/>
      <c r="AN26" s="203"/>
    </row>
    <row r="27" spans="1:40" s="10" customFormat="1" ht="39.950000000000003" customHeight="1" x14ac:dyDescent="0.25">
      <c r="A27" s="55">
        <v>1</v>
      </c>
      <c r="B27" s="55" t="s">
        <v>69</v>
      </c>
      <c r="C27" s="69" t="s">
        <v>70</v>
      </c>
      <c r="D27" s="70" t="s">
        <v>71</v>
      </c>
      <c r="E27" s="85">
        <v>16</v>
      </c>
      <c r="F27" s="72">
        <v>358.87</v>
      </c>
      <c r="G27" s="73">
        <f t="shared" ref="G27:G32" si="9">ROUND(E27*F27,2)</f>
        <v>5741.92</v>
      </c>
      <c r="H27" s="74">
        <f t="shared" ref="H27:H32" si="10">P27+J27</f>
        <v>16</v>
      </c>
      <c r="I27" s="73">
        <f t="shared" ref="I27:I32" si="11">ROUND(H27*F27,2)</f>
        <v>5741.92</v>
      </c>
      <c r="J27" s="181"/>
      <c r="K27" s="75">
        <f t="shared" ref="K27:K32" si="12">ROUND(J27*F27,2)</f>
        <v>0</v>
      </c>
      <c r="L27" s="76">
        <f t="shared" ref="L27:L32" si="13">E27-H27</f>
        <v>0</v>
      </c>
      <c r="M27" s="77">
        <f t="shared" ref="M27:M32" si="14">ROUND(G27-I27,2)</f>
        <v>0</v>
      </c>
      <c r="N27" s="86">
        <f t="shared" ref="N27:N33" si="15">IF(G27=0,"",I27/G27)</f>
        <v>1</v>
      </c>
      <c r="O27" s="8"/>
      <c r="P27" s="9">
        <f t="shared" si="8"/>
        <v>16</v>
      </c>
      <c r="Q27" s="9">
        <v>16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L27" s="202"/>
      <c r="AM27" s="202"/>
      <c r="AN27" s="202"/>
    </row>
    <row r="28" spans="1:40" s="10" customFormat="1" ht="39.950000000000003" customHeight="1" x14ac:dyDescent="0.25">
      <c r="A28" s="55">
        <v>1</v>
      </c>
      <c r="B28" s="55" t="s">
        <v>72</v>
      </c>
      <c r="C28" s="69" t="s">
        <v>73</v>
      </c>
      <c r="D28" s="70" t="s">
        <v>71</v>
      </c>
      <c r="E28" s="85">
        <v>500</v>
      </c>
      <c r="F28" s="72">
        <v>193.1</v>
      </c>
      <c r="G28" s="73">
        <f t="shared" si="9"/>
        <v>96550</v>
      </c>
      <c r="H28" s="74">
        <f t="shared" si="10"/>
        <v>500</v>
      </c>
      <c r="I28" s="73">
        <f t="shared" si="11"/>
        <v>96550</v>
      </c>
      <c r="J28" s="181"/>
      <c r="K28" s="75">
        <f t="shared" si="12"/>
        <v>0</v>
      </c>
      <c r="L28" s="76">
        <f t="shared" si="13"/>
        <v>0</v>
      </c>
      <c r="M28" s="77">
        <f t="shared" si="14"/>
        <v>0</v>
      </c>
      <c r="N28" s="86">
        <f t="shared" si="15"/>
        <v>1</v>
      </c>
      <c r="O28" s="8"/>
      <c r="P28" s="9">
        <f t="shared" si="8"/>
        <v>500</v>
      </c>
      <c r="Q28" s="9"/>
      <c r="R28" s="9">
        <v>25</v>
      </c>
      <c r="S28" s="9">
        <v>50</v>
      </c>
      <c r="T28" s="9">
        <v>425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L28" s="202"/>
      <c r="AM28" s="202"/>
      <c r="AN28" s="202"/>
    </row>
    <row r="29" spans="1:40" s="10" customFormat="1" ht="39.950000000000003" customHeight="1" x14ac:dyDescent="0.25">
      <c r="A29" s="55">
        <v>1</v>
      </c>
      <c r="B29" s="55" t="s">
        <v>74</v>
      </c>
      <c r="C29" s="69" t="s">
        <v>75</v>
      </c>
      <c r="D29" s="70" t="s">
        <v>71</v>
      </c>
      <c r="E29" s="85">
        <v>500</v>
      </c>
      <c r="F29" s="72">
        <v>9.4700000000000006</v>
      </c>
      <c r="G29" s="73">
        <f t="shared" si="9"/>
        <v>4735</v>
      </c>
      <c r="H29" s="74">
        <f t="shared" si="10"/>
        <v>0</v>
      </c>
      <c r="I29" s="87">
        <f t="shared" si="11"/>
        <v>0</v>
      </c>
      <c r="J29" s="181"/>
      <c r="K29" s="88">
        <f t="shared" si="12"/>
        <v>0</v>
      </c>
      <c r="L29" s="76">
        <f t="shared" si="13"/>
        <v>500</v>
      </c>
      <c r="M29" s="77">
        <f t="shared" si="14"/>
        <v>4735</v>
      </c>
      <c r="N29" s="86">
        <f t="shared" si="15"/>
        <v>0</v>
      </c>
      <c r="O29" s="8"/>
      <c r="P29" s="9">
        <f t="shared" si="8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L29" s="202"/>
      <c r="AM29" s="202"/>
      <c r="AN29" s="202"/>
    </row>
    <row r="30" spans="1:40" s="10" customFormat="1" ht="39.950000000000003" customHeight="1" x14ac:dyDescent="0.25">
      <c r="A30" s="55">
        <v>1</v>
      </c>
      <c r="B30" s="55" t="s">
        <v>76</v>
      </c>
      <c r="C30" s="89" t="s">
        <v>77</v>
      </c>
      <c r="D30" s="53" t="s">
        <v>78</v>
      </c>
      <c r="E30" s="90">
        <v>128</v>
      </c>
      <c r="F30" s="91">
        <v>479.17</v>
      </c>
      <c r="G30" s="73">
        <f t="shared" si="9"/>
        <v>61333.760000000002</v>
      </c>
      <c r="H30" s="74">
        <f t="shared" si="10"/>
        <v>106</v>
      </c>
      <c r="I30" s="73">
        <f t="shared" si="11"/>
        <v>50792.02</v>
      </c>
      <c r="J30" s="181">
        <v>10</v>
      </c>
      <c r="K30" s="75">
        <f t="shared" si="12"/>
        <v>4791.7</v>
      </c>
      <c r="L30" s="76">
        <f t="shared" si="13"/>
        <v>22</v>
      </c>
      <c r="M30" s="77">
        <f t="shared" si="14"/>
        <v>10541.74</v>
      </c>
      <c r="N30" s="86">
        <f t="shared" si="15"/>
        <v>0.82812499999999989</v>
      </c>
      <c r="O30" s="8"/>
      <c r="P30" s="9">
        <f t="shared" si="8"/>
        <v>96</v>
      </c>
      <c r="Q30" s="9">
        <v>1</v>
      </c>
      <c r="R30" s="9">
        <v>1</v>
      </c>
      <c r="S30" s="9">
        <v>1</v>
      </c>
      <c r="T30" s="9">
        <v>2</v>
      </c>
      <c r="U30" s="9">
        <v>2</v>
      </c>
      <c r="V30" s="9">
        <v>5</v>
      </c>
      <c r="W30" s="92">
        <v>5</v>
      </c>
      <c r="X30" s="9">
        <v>5</v>
      </c>
      <c r="Y30" s="9">
        <v>5</v>
      </c>
      <c r="Z30" s="10">
        <v>5</v>
      </c>
      <c r="AA30" s="9">
        <v>5</v>
      </c>
      <c r="AB30" s="9">
        <v>5</v>
      </c>
      <c r="AC30" s="9">
        <v>5</v>
      </c>
      <c r="AD30" s="9">
        <v>5</v>
      </c>
      <c r="AE30" s="9">
        <v>5</v>
      </c>
      <c r="AF30" s="9">
        <v>5</v>
      </c>
      <c r="AG30" s="9">
        <v>5</v>
      </c>
      <c r="AH30" s="9">
        <v>5</v>
      </c>
      <c r="AI30" s="10">
        <v>5</v>
      </c>
      <c r="AJ30" s="10">
        <v>5</v>
      </c>
      <c r="AK30" s="10">
        <v>5</v>
      </c>
      <c r="AL30" s="202">
        <v>5</v>
      </c>
      <c r="AM30" s="202">
        <v>4</v>
      </c>
      <c r="AN30" s="202"/>
    </row>
    <row r="31" spans="1:40" s="10" customFormat="1" ht="39.950000000000003" customHeight="1" x14ac:dyDescent="0.25">
      <c r="A31" s="55">
        <v>1</v>
      </c>
      <c r="B31" s="55" t="s">
        <v>79</v>
      </c>
      <c r="C31" s="69" t="s">
        <v>80</v>
      </c>
      <c r="D31" s="70" t="s">
        <v>71</v>
      </c>
      <c r="E31" s="85">
        <v>50</v>
      </c>
      <c r="F31" s="72">
        <v>15.69</v>
      </c>
      <c r="G31" s="73">
        <f t="shared" si="9"/>
        <v>784.5</v>
      </c>
      <c r="H31" s="74">
        <f t="shared" si="10"/>
        <v>50</v>
      </c>
      <c r="I31" s="73">
        <f t="shared" si="11"/>
        <v>784.5</v>
      </c>
      <c r="J31" s="181"/>
      <c r="K31" s="75">
        <f t="shared" si="12"/>
        <v>0</v>
      </c>
      <c r="L31" s="76">
        <f t="shared" si="13"/>
        <v>0</v>
      </c>
      <c r="M31" s="77">
        <f t="shared" si="14"/>
        <v>0</v>
      </c>
      <c r="N31" s="86">
        <f t="shared" si="15"/>
        <v>1</v>
      </c>
      <c r="O31" s="8"/>
      <c r="P31" s="9">
        <f t="shared" si="8"/>
        <v>50</v>
      </c>
      <c r="Q31" s="9"/>
      <c r="R31" s="9"/>
      <c r="S31" s="9"/>
      <c r="T31" s="9">
        <v>50</v>
      </c>
      <c r="U31" s="9"/>
      <c r="V31" s="9"/>
      <c r="W31" s="9"/>
      <c r="X31" s="9"/>
      <c r="Y31" s="9"/>
      <c r="AA31" s="9"/>
      <c r="AB31" s="9"/>
      <c r="AC31" s="9"/>
      <c r="AD31" s="9"/>
      <c r="AE31" s="9"/>
      <c r="AF31" s="9"/>
      <c r="AG31" s="9"/>
      <c r="AH31" s="9"/>
      <c r="AL31" s="202"/>
      <c r="AM31" s="202"/>
      <c r="AN31" s="202"/>
    </row>
    <row r="32" spans="1:40" s="10" customFormat="1" ht="39.950000000000003" customHeight="1" x14ac:dyDescent="0.25">
      <c r="A32" s="55">
        <v>1</v>
      </c>
      <c r="B32" s="55" t="s">
        <v>81</v>
      </c>
      <c r="C32" s="69" t="s">
        <v>82</v>
      </c>
      <c r="D32" s="70" t="s">
        <v>71</v>
      </c>
      <c r="E32" s="85">
        <v>220</v>
      </c>
      <c r="F32" s="72">
        <v>59.1</v>
      </c>
      <c r="G32" s="73">
        <f t="shared" si="9"/>
        <v>13002</v>
      </c>
      <c r="H32" s="74">
        <f t="shared" si="10"/>
        <v>220</v>
      </c>
      <c r="I32" s="73">
        <f t="shared" si="11"/>
        <v>13002</v>
      </c>
      <c r="J32" s="181"/>
      <c r="K32" s="75">
        <f t="shared" si="12"/>
        <v>0</v>
      </c>
      <c r="L32" s="76">
        <f t="shared" si="13"/>
        <v>0</v>
      </c>
      <c r="M32" s="77">
        <f t="shared" si="14"/>
        <v>0</v>
      </c>
      <c r="N32" s="86">
        <f t="shared" si="15"/>
        <v>1</v>
      </c>
      <c r="O32" s="8"/>
      <c r="P32" s="9">
        <f t="shared" si="8"/>
        <v>220</v>
      </c>
      <c r="Q32" s="9"/>
      <c r="R32" s="9"/>
      <c r="S32" s="9"/>
      <c r="T32" s="9">
        <v>66</v>
      </c>
      <c r="U32" s="9">
        <v>154</v>
      </c>
      <c r="V32" s="9"/>
      <c r="W32" s="9"/>
      <c r="X32" s="9"/>
      <c r="Y32" s="9"/>
      <c r="AA32" s="9"/>
      <c r="AB32" s="9"/>
      <c r="AC32" s="9"/>
      <c r="AD32" s="9"/>
      <c r="AE32" s="9"/>
      <c r="AF32" s="9"/>
      <c r="AG32" s="9"/>
      <c r="AH32" s="9"/>
      <c r="AL32" s="202"/>
      <c r="AM32" s="202"/>
      <c r="AN32" s="202"/>
    </row>
    <row r="33" spans="1:40" s="10" customFormat="1" ht="39.950000000000003" customHeight="1" x14ac:dyDescent="0.25">
      <c r="A33" s="274" t="s">
        <v>83</v>
      </c>
      <c r="B33" s="274"/>
      <c r="C33" s="274"/>
      <c r="D33" s="274"/>
      <c r="E33" s="274"/>
      <c r="F33" s="79"/>
      <c r="G33" s="79">
        <f>SUM(G27:G32)</f>
        <v>182147.18</v>
      </c>
      <c r="H33" s="80"/>
      <c r="I33" s="79">
        <f>SUM(I27:I32)</f>
        <v>166870.44</v>
      </c>
      <c r="J33" s="188"/>
      <c r="K33" s="79">
        <f>SUM(K27:K32)</f>
        <v>4791.7</v>
      </c>
      <c r="L33" s="82"/>
      <c r="M33" s="79">
        <f>SUM(M27:M32)</f>
        <v>15276.74</v>
      </c>
      <c r="N33" s="93">
        <f t="shared" si="15"/>
        <v>0.91612969248274945</v>
      </c>
      <c r="O33" s="8"/>
      <c r="P33" s="9">
        <f t="shared" si="8"/>
        <v>0</v>
      </c>
      <c r="Q33" s="9"/>
      <c r="R33" s="9"/>
      <c r="S33" s="9"/>
      <c r="T33" s="9"/>
      <c r="U33" s="9"/>
      <c r="V33" s="9"/>
      <c r="W33" s="9"/>
      <c r="X33" s="9"/>
      <c r="Y33" s="9"/>
      <c r="AA33" s="9"/>
      <c r="AB33" s="9"/>
      <c r="AC33" s="9"/>
      <c r="AD33" s="9"/>
      <c r="AE33" s="9"/>
      <c r="AF33" s="9"/>
      <c r="AG33" s="9"/>
      <c r="AH33" s="9"/>
      <c r="AL33" s="204"/>
      <c r="AM33" s="204"/>
      <c r="AN33" s="204"/>
    </row>
    <row r="34" spans="1:40" s="10" customFormat="1" ht="39.950000000000003" customHeight="1" x14ac:dyDescent="0.25">
      <c r="A34" s="68">
        <v>1</v>
      </c>
      <c r="B34" s="68" t="s">
        <v>84</v>
      </c>
      <c r="C34" s="83" t="s">
        <v>85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221"/>
      <c r="O34" s="8"/>
      <c r="P34" s="9">
        <f t="shared" si="8"/>
        <v>0</v>
      </c>
      <c r="Q34" s="9"/>
      <c r="R34" s="9"/>
      <c r="S34" s="9"/>
      <c r="T34" s="9"/>
      <c r="U34" s="9"/>
      <c r="V34" s="9"/>
      <c r="W34" s="9"/>
      <c r="X34" s="9"/>
      <c r="Y34" s="9"/>
      <c r="AA34" s="9"/>
      <c r="AB34" s="9"/>
      <c r="AC34" s="9"/>
      <c r="AD34" s="9"/>
      <c r="AE34" s="9"/>
      <c r="AF34" s="9"/>
      <c r="AG34" s="9"/>
      <c r="AH34" s="9"/>
      <c r="AL34" s="203"/>
      <c r="AM34" s="203"/>
      <c r="AN34" s="203"/>
    </row>
    <row r="35" spans="1:40" s="96" customFormat="1" ht="39.950000000000003" customHeight="1" x14ac:dyDescent="0.7">
      <c r="A35" s="55">
        <v>1</v>
      </c>
      <c r="B35" s="55" t="s">
        <v>86</v>
      </c>
      <c r="C35" s="89" t="s">
        <v>87</v>
      </c>
      <c r="D35" s="53" t="s">
        <v>71</v>
      </c>
      <c r="E35" s="71">
        <v>92366.55</v>
      </c>
      <c r="F35" s="91">
        <v>0.47</v>
      </c>
      <c r="G35" s="73">
        <f t="shared" ref="G35:G65" si="16">ROUND(E35*F35,2)</f>
        <v>43412.28</v>
      </c>
      <c r="H35" s="74">
        <f>P35+J35</f>
        <v>92366.55</v>
      </c>
      <c r="I35" s="73">
        <f t="shared" ref="I35:I65" si="17">ROUND(H35*F35,2)</f>
        <v>43412.28</v>
      </c>
      <c r="J35" s="179"/>
      <c r="K35" s="75">
        <f t="shared" ref="K35:K65" si="18">ROUND(J35*F35,2)</f>
        <v>0</v>
      </c>
      <c r="L35" s="76">
        <f t="shared" ref="L35:L65" si="19">E35-H35</f>
        <v>0</v>
      </c>
      <c r="M35" s="73">
        <f t="shared" ref="M35:M65" si="20">ROUND(G35-I35,2)</f>
        <v>0</v>
      </c>
      <c r="N35" s="86">
        <f>IF(G35=0,"",I35/G35)</f>
        <v>1</v>
      </c>
      <c r="O35" s="94"/>
      <c r="P35" s="9">
        <f t="shared" si="8"/>
        <v>92366.55</v>
      </c>
      <c r="Q35" s="95">
        <v>7102.5</v>
      </c>
      <c r="R35" s="95">
        <v>1500</v>
      </c>
      <c r="S35" s="95">
        <v>38254.959999999999</v>
      </c>
      <c r="T35" s="95">
        <v>8420</v>
      </c>
      <c r="U35" s="95">
        <v>1000</v>
      </c>
      <c r="V35" s="95">
        <v>972.54</v>
      </c>
      <c r="W35" s="95"/>
      <c r="X35" s="95"/>
      <c r="Y35" s="95"/>
      <c r="AA35" s="95"/>
      <c r="AB35" s="95"/>
      <c r="AC35" s="95"/>
      <c r="AD35" s="95"/>
      <c r="AE35" s="95"/>
      <c r="AF35" s="95">
        <v>30116.55</v>
      </c>
      <c r="AG35" s="95"/>
      <c r="AH35" s="95">
        <v>727.3</v>
      </c>
      <c r="AI35" s="96">
        <v>1338.67</v>
      </c>
      <c r="AJ35" s="96">
        <v>482.79</v>
      </c>
      <c r="AK35" s="96">
        <v>2451.2399999999998</v>
      </c>
      <c r="AL35" s="205"/>
      <c r="AM35" s="205"/>
      <c r="AN35" s="205"/>
    </row>
    <row r="36" spans="1:40" s="10" customFormat="1" ht="39.950000000000003" customHeight="1" x14ac:dyDescent="0.25">
      <c r="A36" s="55">
        <v>1</v>
      </c>
      <c r="B36" s="55" t="s">
        <v>88</v>
      </c>
      <c r="C36" s="89" t="s">
        <v>89</v>
      </c>
      <c r="D36" s="53" t="s">
        <v>90</v>
      </c>
      <c r="E36" s="71">
        <v>132</v>
      </c>
      <c r="F36" s="72">
        <v>49.46</v>
      </c>
      <c r="G36" s="73">
        <f t="shared" si="16"/>
        <v>6528.72</v>
      </c>
      <c r="H36" s="74">
        <f>P36+J36</f>
        <v>132</v>
      </c>
      <c r="I36" s="73">
        <f t="shared" si="17"/>
        <v>6528.72</v>
      </c>
      <c r="J36" s="180"/>
      <c r="K36" s="75">
        <f t="shared" si="18"/>
        <v>0</v>
      </c>
      <c r="L36" s="76">
        <f t="shared" si="19"/>
        <v>0</v>
      </c>
      <c r="M36" s="73">
        <f t="shared" si="20"/>
        <v>0</v>
      </c>
      <c r="N36" s="86">
        <f>IF(G36=0,"",I36/G36)</f>
        <v>1</v>
      </c>
      <c r="O36" s="8"/>
      <c r="P36" s="9">
        <f t="shared" si="8"/>
        <v>132</v>
      </c>
      <c r="Q36" s="9"/>
      <c r="R36" s="9"/>
      <c r="S36" s="9"/>
      <c r="T36" s="9"/>
      <c r="U36" s="9">
        <v>60</v>
      </c>
      <c r="V36" s="9"/>
      <c r="W36" s="9"/>
      <c r="X36" s="9"/>
      <c r="Y36" s="9"/>
      <c r="AA36" s="9"/>
      <c r="AB36" s="9"/>
      <c r="AC36" s="9"/>
      <c r="AD36" s="9"/>
      <c r="AE36" s="9"/>
      <c r="AF36" s="9">
        <v>72</v>
      </c>
      <c r="AG36" s="9"/>
      <c r="AH36" s="9"/>
      <c r="AL36" s="206"/>
      <c r="AM36" s="206"/>
      <c r="AN36" s="206"/>
    </row>
    <row r="37" spans="1:40" s="96" customFormat="1" ht="39.950000000000003" customHeight="1" x14ac:dyDescent="0.7">
      <c r="A37" s="55">
        <v>1</v>
      </c>
      <c r="B37" s="55" t="s">
        <v>91</v>
      </c>
      <c r="C37" s="89" t="s">
        <v>92</v>
      </c>
      <c r="D37" s="53" t="s">
        <v>93</v>
      </c>
      <c r="E37" s="71">
        <v>27709.97</v>
      </c>
      <c r="F37" s="91">
        <v>2.04</v>
      </c>
      <c r="G37" s="73">
        <f t="shared" si="16"/>
        <v>56528.34</v>
      </c>
      <c r="H37" s="74">
        <f>P37+J37</f>
        <v>27709.969999999998</v>
      </c>
      <c r="I37" s="73">
        <f t="shared" si="17"/>
        <v>56528.34</v>
      </c>
      <c r="J37" s="179"/>
      <c r="K37" s="75">
        <f t="shared" si="18"/>
        <v>0</v>
      </c>
      <c r="L37" s="76">
        <f t="shared" si="19"/>
        <v>0</v>
      </c>
      <c r="M37" s="73">
        <f t="shared" si="20"/>
        <v>0</v>
      </c>
      <c r="N37" s="86">
        <f>IF(G37=0,"",I37/G37)</f>
        <v>1</v>
      </c>
      <c r="O37" s="94"/>
      <c r="P37" s="9">
        <f t="shared" si="8"/>
        <v>27709.969999999998</v>
      </c>
      <c r="Q37" s="95"/>
      <c r="R37" s="95"/>
      <c r="S37" s="95"/>
      <c r="T37" s="95">
        <v>16582.46</v>
      </c>
      <c r="U37" s="95">
        <v>300</v>
      </c>
      <c r="V37" s="95">
        <v>292.54000000000002</v>
      </c>
      <c r="W37" s="95"/>
      <c r="X37" s="95"/>
      <c r="Y37" s="95"/>
      <c r="AA37" s="95"/>
      <c r="AB37" s="95"/>
      <c r="AC37" s="95"/>
      <c r="AD37" s="95"/>
      <c r="AE37" s="95"/>
      <c r="AF37" s="95">
        <v>9034.9699999999993</v>
      </c>
      <c r="AG37" s="95"/>
      <c r="AH37" s="95">
        <v>727.3</v>
      </c>
      <c r="AI37" s="96">
        <v>401.6</v>
      </c>
      <c r="AJ37" s="96">
        <v>144.84</v>
      </c>
      <c r="AK37" s="96">
        <v>226.26</v>
      </c>
      <c r="AL37" s="205"/>
      <c r="AM37" s="205"/>
      <c r="AN37" s="205"/>
    </row>
    <row r="38" spans="1:40" s="96" customFormat="1" ht="39.950000000000003" customHeight="1" x14ac:dyDescent="0.7">
      <c r="A38" s="55">
        <v>1</v>
      </c>
      <c r="B38" s="55" t="s">
        <v>94</v>
      </c>
      <c r="C38" s="89" t="s">
        <v>95</v>
      </c>
      <c r="D38" s="53" t="s">
        <v>96</v>
      </c>
      <c r="E38" s="71">
        <v>27709.97</v>
      </c>
      <c r="F38" s="91">
        <v>3.89</v>
      </c>
      <c r="G38" s="73">
        <f t="shared" si="16"/>
        <v>107791.78</v>
      </c>
      <c r="H38" s="74">
        <f>P38+J38</f>
        <v>27709.969999999998</v>
      </c>
      <c r="I38" s="73">
        <f t="shared" si="17"/>
        <v>107791.78</v>
      </c>
      <c r="J38" s="179"/>
      <c r="K38" s="75">
        <f t="shared" si="18"/>
        <v>0</v>
      </c>
      <c r="L38" s="76">
        <f t="shared" si="19"/>
        <v>0</v>
      </c>
      <c r="M38" s="73">
        <f t="shared" si="20"/>
        <v>0</v>
      </c>
      <c r="N38" s="86">
        <f>IF(G38=0,"",I38/G38)</f>
        <v>1</v>
      </c>
      <c r="O38" s="94"/>
      <c r="P38" s="9">
        <f t="shared" si="8"/>
        <v>27709.969999999998</v>
      </c>
      <c r="Q38" s="95"/>
      <c r="R38" s="95"/>
      <c r="S38" s="95"/>
      <c r="T38" s="95">
        <v>16582.46</v>
      </c>
      <c r="U38" s="95">
        <v>300</v>
      </c>
      <c r="V38" s="95">
        <v>292.54000000000002</v>
      </c>
      <c r="W38" s="95"/>
      <c r="X38" s="95"/>
      <c r="Y38" s="95"/>
      <c r="AA38" s="95"/>
      <c r="AB38" s="95"/>
      <c r="AC38" s="95"/>
      <c r="AD38" s="95"/>
      <c r="AE38" s="95"/>
      <c r="AF38" s="95">
        <v>9034.9699999999993</v>
      </c>
      <c r="AG38" s="95"/>
      <c r="AH38" s="95">
        <v>727.3</v>
      </c>
      <c r="AI38" s="96">
        <v>401.6</v>
      </c>
      <c r="AJ38" s="96">
        <v>144.84</v>
      </c>
      <c r="AK38" s="96">
        <v>226.26</v>
      </c>
      <c r="AL38" s="205"/>
      <c r="AM38" s="205"/>
      <c r="AN38" s="205"/>
    </row>
    <row r="39" spans="1:40" s="10" customFormat="1" ht="39.950000000000003" hidden="1" customHeight="1" x14ac:dyDescent="0.25">
      <c r="A39" s="226">
        <v>1</v>
      </c>
      <c r="B39" s="226" t="s">
        <v>97</v>
      </c>
      <c r="C39" s="238" t="s">
        <v>98</v>
      </c>
      <c r="D39" s="239" t="s">
        <v>96</v>
      </c>
      <c r="E39" s="229">
        <v>0</v>
      </c>
      <c r="F39" s="240">
        <v>1.19</v>
      </c>
      <c r="G39" s="231">
        <f t="shared" si="16"/>
        <v>0</v>
      </c>
      <c r="H39" s="232"/>
      <c r="I39" s="231">
        <f t="shared" si="17"/>
        <v>0</v>
      </c>
      <c r="J39" s="241"/>
      <c r="K39" s="242">
        <f t="shared" si="18"/>
        <v>0</v>
      </c>
      <c r="L39" s="235">
        <f t="shared" si="19"/>
        <v>0</v>
      </c>
      <c r="M39" s="231">
        <f t="shared" si="20"/>
        <v>0</v>
      </c>
      <c r="N39" s="243">
        <v>0</v>
      </c>
      <c r="O39" s="8"/>
      <c r="P39" s="9">
        <f t="shared" si="8"/>
        <v>0</v>
      </c>
      <c r="Q39" s="9"/>
      <c r="R39" s="9"/>
      <c r="S39" s="9"/>
      <c r="T39" s="9">
        <v>18872</v>
      </c>
      <c r="U39" s="9">
        <v>18872</v>
      </c>
      <c r="V39" s="9"/>
      <c r="W39" s="9"/>
      <c r="X39" s="9"/>
      <c r="Y39" s="9"/>
      <c r="AA39" s="9"/>
      <c r="AB39" s="9"/>
      <c r="AC39" s="9"/>
      <c r="AD39" s="9"/>
      <c r="AE39" s="9"/>
      <c r="AF39" s="9">
        <v>-37744</v>
      </c>
      <c r="AG39" s="9"/>
      <c r="AH39" s="9"/>
      <c r="AL39" s="207"/>
      <c r="AM39" s="207"/>
      <c r="AN39" s="207"/>
    </row>
    <row r="40" spans="1:40" s="96" customFormat="1" ht="39.950000000000003" customHeight="1" x14ac:dyDescent="0.7">
      <c r="A40" s="55">
        <v>1</v>
      </c>
      <c r="B40" s="55" t="s">
        <v>99</v>
      </c>
      <c r="C40" s="89" t="s">
        <v>100</v>
      </c>
      <c r="D40" s="53" t="s">
        <v>93</v>
      </c>
      <c r="E40" s="71">
        <v>30124.97</v>
      </c>
      <c r="F40" s="91">
        <v>1.95</v>
      </c>
      <c r="G40" s="73">
        <f t="shared" si="16"/>
        <v>58743.69</v>
      </c>
      <c r="H40" s="74">
        <f>P40+J40</f>
        <v>30124.969999999998</v>
      </c>
      <c r="I40" s="73">
        <f t="shared" si="17"/>
        <v>58743.69</v>
      </c>
      <c r="J40" s="179"/>
      <c r="K40" s="75">
        <f t="shared" si="18"/>
        <v>0</v>
      </c>
      <c r="L40" s="76">
        <f t="shared" si="19"/>
        <v>0</v>
      </c>
      <c r="M40" s="73">
        <f t="shared" si="20"/>
        <v>0</v>
      </c>
      <c r="N40" s="86">
        <f>IF(G40=0,"",I40/G40)</f>
        <v>1</v>
      </c>
      <c r="O40" s="94"/>
      <c r="P40" s="9">
        <f t="shared" si="8"/>
        <v>30124.969999999998</v>
      </c>
      <c r="Q40" s="95"/>
      <c r="R40" s="95"/>
      <c r="S40" s="95"/>
      <c r="T40" s="95">
        <v>16582.46</v>
      </c>
      <c r="U40" s="95">
        <v>300</v>
      </c>
      <c r="V40" s="95">
        <v>292.54000000000002</v>
      </c>
      <c r="W40" s="95"/>
      <c r="X40" s="95"/>
      <c r="Y40" s="95"/>
      <c r="AA40" s="95"/>
      <c r="AB40" s="95"/>
      <c r="AC40" s="95"/>
      <c r="AD40" s="95"/>
      <c r="AE40" s="95"/>
      <c r="AF40" s="95">
        <v>11449.97</v>
      </c>
      <c r="AG40" s="95"/>
      <c r="AH40" s="95">
        <v>727.3</v>
      </c>
      <c r="AI40" s="96">
        <v>401.6</v>
      </c>
      <c r="AJ40" s="96">
        <v>144.84</v>
      </c>
      <c r="AK40" s="96">
        <v>226.26</v>
      </c>
      <c r="AL40" s="205"/>
      <c r="AM40" s="205"/>
      <c r="AN40" s="205"/>
    </row>
    <row r="41" spans="1:40" s="10" customFormat="1" ht="39.950000000000003" customHeight="1" x14ac:dyDescent="0.25">
      <c r="A41" s="98">
        <v>1</v>
      </c>
      <c r="B41" s="98" t="s">
        <v>101</v>
      </c>
      <c r="C41" s="69" t="s">
        <v>102</v>
      </c>
      <c r="D41" s="70" t="s">
        <v>93</v>
      </c>
      <c r="E41" s="78">
        <v>136782.22</v>
      </c>
      <c r="F41" s="72">
        <v>3.75</v>
      </c>
      <c r="G41" s="77">
        <f t="shared" si="16"/>
        <v>512933.33</v>
      </c>
      <c r="H41" s="99">
        <f>P41+J41</f>
        <v>136027.79</v>
      </c>
      <c r="I41" s="77">
        <f t="shared" si="17"/>
        <v>510104.21</v>
      </c>
      <c r="J41" s="180">
        <v>149.74</v>
      </c>
      <c r="K41" s="75">
        <f t="shared" si="18"/>
        <v>561.53</v>
      </c>
      <c r="L41" s="100">
        <f t="shared" si="19"/>
        <v>754.42999999999302</v>
      </c>
      <c r="M41" s="77">
        <f t="shared" si="20"/>
        <v>2829.12</v>
      </c>
      <c r="N41" s="86">
        <f>IF(G41=0,"",I41/G41)</f>
        <v>0.99448442938968307</v>
      </c>
      <c r="O41" s="8"/>
      <c r="P41" s="9">
        <f t="shared" si="8"/>
        <v>135878.05000000002</v>
      </c>
      <c r="Q41" s="9"/>
      <c r="R41" s="9"/>
      <c r="S41" s="9"/>
      <c r="T41" s="9">
        <v>22346</v>
      </c>
      <c r="U41" s="9">
        <v>20952.650000000001</v>
      </c>
      <c r="V41" s="9">
        <v>23766.89</v>
      </c>
      <c r="W41" s="101">
        <v>1049.4000000000001</v>
      </c>
      <c r="X41" s="9">
        <v>16637.62</v>
      </c>
      <c r="Y41" s="9">
        <v>30665.59</v>
      </c>
      <c r="Z41" s="10">
        <v>649.11</v>
      </c>
      <c r="AA41" s="9">
        <v>6385.37</v>
      </c>
      <c r="AB41" s="9">
        <v>1288.83</v>
      </c>
      <c r="AC41" s="9"/>
      <c r="AD41" s="9"/>
      <c r="AE41" s="9"/>
      <c r="AF41" s="9">
        <v>10691.6</v>
      </c>
      <c r="AG41" s="9"/>
      <c r="AH41" s="9"/>
      <c r="AJ41" s="10">
        <v>390</v>
      </c>
      <c r="AK41" s="10">
        <v>557.97</v>
      </c>
      <c r="AL41" s="206"/>
      <c r="AM41" s="206">
        <v>220.1</v>
      </c>
      <c r="AN41" s="206">
        <v>276.92</v>
      </c>
    </row>
    <row r="42" spans="1:40" s="10" customFormat="1" ht="39.950000000000003" hidden="1" customHeight="1" x14ac:dyDescent="0.25">
      <c r="A42" s="226">
        <v>1</v>
      </c>
      <c r="B42" s="226" t="s">
        <v>103</v>
      </c>
      <c r="C42" s="238" t="s">
        <v>104</v>
      </c>
      <c r="D42" s="239" t="s">
        <v>93</v>
      </c>
      <c r="E42" s="229">
        <v>0</v>
      </c>
      <c r="F42" s="240">
        <v>11.7</v>
      </c>
      <c r="G42" s="231">
        <f t="shared" si="16"/>
        <v>0</v>
      </c>
      <c r="H42" s="232"/>
      <c r="I42" s="231">
        <f t="shared" si="17"/>
        <v>0</v>
      </c>
      <c r="J42" s="241"/>
      <c r="K42" s="242">
        <f t="shared" si="18"/>
        <v>0</v>
      </c>
      <c r="L42" s="235">
        <f t="shared" si="19"/>
        <v>0</v>
      </c>
      <c r="M42" s="231">
        <f t="shared" si="20"/>
        <v>0</v>
      </c>
      <c r="N42" s="243">
        <v>0</v>
      </c>
      <c r="O42" s="8"/>
      <c r="P42" s="9">
        <f t="shared" si="8"/>
        <v>0</v>
      </c>
      <c r="Q42" s="9"/>
      <c r="R42" s="9"/>
      <c r="S42" s="9"/>
      <c r="T42" s="9"/>
      <c r="U42" s="9">
        <v>1000</v>
      </c>
      <c r="V42" s="9"/>
      <c r="W42" s="189"/>
      <c r="X42" s="9"/>
      <c r="Y42" s="9"/>
      <c r="AA42" s="9"/>
      <c r="AB42" s="9"/>
      <c r="AC42" s="9"/>
      <c r="AD42" s="9"/>
      <c r="AE42" s="9"/>
      <c r="AF42" s="9">
        <v>-1000</v>
      </c>
      <c r="AG42" s="9"/>
      <c r="AH42" s="9"/>
      <c r="AL42" s="207"/>
      <c r="AM42" s="207"/>
      <c r="AN42" s="207"/>
    </row>
    <row r="43" spans="1:40" s="10" customFormat="1" ht="39.950000000000003" customHeight="1" x14ac:dyDescent="0.25">
      <c r="A43" s="98">
        <v>1</v>
      </c>
      <c r="B43" s="98" t="s">
        <v>105</v>
      </c>
      <c r="C43" s="69" t="s">
        <v>106</v>
      </c>
      <c r="D43" s="70" t="s">
        <v>107</v>
      </c>
      <c r="E43" s="78">
        <v>137545.25</v>
      </c>
      <c r="F43" s="72">
        <v>2.9</v>
      </c>
      <c r="G43" s="77">
        <f t="shared" si="16"/>
        <v>398881.23</v>
      </c>
      <c r="H43" s="99">
        <f t="shared" ref="H43:H65" si="21">P43+J43</f>
        <v>137545.25</v>
      </c>
      <c r="I43" s="77">
        <f t="shared" si="17"/>
        <v>398881.23</v>
      </c>
      <c r="J43" s="181">
        <v>54.74</v>
      </c>
      <c r="K43" s="75">
        <f t="shared" si="18"/>
        <v>158.75</v>
      </c>
      <c r="L43" s="100">
        <f t="shared" si="19"/>
        <v>0</v>
      </c>
      <c r="M43" s="77">
        <f t="shared" si="20"/>
        <v>0</v>
      </c>
      <c r="N43" s="86">
        <f t="shared" ref="N43:N66" si="22">IF(G43=0,"",I43/G43)</f>
        <v>1</v>
      </c>
      <c r="O43" s="8"/>
      <c r="P43" s="9">
        <f t="shared" si="8"/>
        <v>137490.51</v>
      </c>
      <c r="Q43" s="9"/>
      <c r="R43" s="9"/>
      <c r="S43" s="9"/>
      <c r="T43" s="9">
        <v>24804.06</v>
      </c>
      <c r="U43" s="9">
        <v>20952.650000000001</v>
      </c>
      <c r="V43" s="9">
        <v>23766.89</v>
      </c>
      <c r="W43" s="101">
        <v>39298.1</v>
      </c>
      <c r="X43" s="9">
        <v>17199.78</v>
      </c>
      <c r="Y43" s="9">
        <v>11469.03</v>
      </c>
      <c r="AA43" s="9"/>
      <c r="AB43" s="9"/>
      <c r="AC43" s="9"/>
      <c r="AD43" s="9"/>
      <c r="AE43" s="9"/>
      <c r="AF43" s="9"/>
      <c r="AG43" s="9"/>
      <c r="AH43" s="9"/>
      <c r="AL43" s="202"/>
      <c r="AM43" s="202"/>
      <c r="AN43" s="202"/>
    </row>
    <row r="44" spans="1:40" s="10" customFormat="1" ht="39.950000000000003" customHeight="1" x14ac:dyDescent="0.7">
      <c r="A44" s="55">
        <v>1</v>
      </c>
      <c r="B44" s="55" t="s">
        <v>108</v>
      </c>
      <c r="C44" s="89" t="s">
        <v>109</v>
      </c>
      <c r="D44" s="53" t="s">
        <v>93</v>
      </c>
      <c r="E44" s="71">
        <v>111233.07</v>
      </c>
      <c r="F44" s="72">
        <v>4.7</v>
      </c>
      <c r="G44" s="73">
        <f t="shared" si="16"/>
        <v>522795.43</v>
      </c>
      <c r="H44" s="74">
        <f t="shared" si="21"/>
        <v>106433.53</v>
      </c>
      <c r="I44" s="73">
        <f t="shared" si="17"/>
        <v>500237.59</v>
      </c>
      <c r="J44" s="179"/>
      <c r="K44" s="75">
        <f t="shared" si="18"/>
        <v>0</v>
      </c>
      <c r="L44" s="76">
        <f t="shared" si="19"/>
        <v>4799.5400000000081</v>
      </c>
      <c r="M44" s="73">
        <f t="shared" si="20"/>
        <v>22557.84</v>
      </c>
      <c r="N44" s="86">
        <f t="shared" si="22"/>
        <v>0.95685149734380814</v>
      </c>
      <c r="O44" s="94"/>
      <c r="P44" s="9">
        <f t="shared" si="8"/>
        <v>106433.53</v>
      </c>
      <c r="Q44" s="9"/>
      <c r="R44" s="9"/>
      <c r="S44" s="9"/>
      <c r="T44" s="9">
        <v>18760</v>
      </c>
      <c r="U44" s="9">
        <v>13877.42</v>
      </c>
      <c r="V44" s="9">
        <v>23317.74</v>
      </c>
      <c r="W44" s="101">
        <v>3489.35</v>
      </c>
      <c r="X44" s="9">
        <v>10306.93</v>
      </c>
      <c r="Y44" s="9">
        <v>14723</v>
      </c>
      <c r="Z44" s="10">
        <v>2339.54</v>
      </c>
      <c r="AA44" s="9">
        <v>6020.78</v>
      </c>
      <c r="AB44" s="9">
        <v>5424.65</v>
      </c>
      <c r="AC44" s="9">
        <v>572.64</v>
      </c>
      <c r="AD44" s="9"/>
      <c r="AE44" s="9"/>
      <c r="AF44" s="9">
        <v>5039.7700000000004</v>
      </c>
      <c r="AG44" s="9">
        <v>1260.3</v>
      </c>
      <c r="AH44" s="9">
        <v>430</v>
      </c>
      <c r="AI44" s="10">
        <v>598.44000000000005</v>
      </c>
      <c r="AK44" s="10">
        <v>272.97000000000003</v>
      </c>
      <c r="AL44" s="205"/>
      <c r="AM44" s="205"/>
      <c r="AN44" s="205"/>
    </row>
    <row r="45" spans="1:40" s="10" customFormat="1" ht="39.950000000000003" customHeight="1" x14ac:dyDescent="0.25">
      <c r="A45" s="55">
        <v>1</v>
      </c>
      <c r="B45" s="55" t="s">
        <v>110</v>
      </c>
      <c r="C45" s="89" t="s">
        <v>111</v>
      </c>
      <c r="D45" s="53" t="s">
        <v>93</v>
      </c>
      <c r="E45" s="71">
        <v>315</v>
      </c>
      <c r="F45" s="72">
        <v>92.25</v>
      </c>
      <c r="G45" s="73">
        <f t="shared" si="16"/>
        <v>29058.75</v>
      </c>
      <c r="H45" s="74">
        <f t="shared" si="21"/>
        <v>104.94000000000001</v>
      </c>
      <c r="I45" s="73">
        <f t="shared" si="17"/>
        <v>9680.7199999999993</v>
      </c>
      <c r="J45" s="184"/>
      <c r="K45" s="75">
        <f t="shared" si="18"/>
        <v>0</v>
      </c>
      <c r="L45" s="76">
        <f t="shared" si="19"/>
        <v>210.06</v>
      </c>
      <c r="M45" s="73">
        <f t="shared" si="20"/>
        <v>19378.03</v>
      </c>
      <c r="N45" s="86">
        <f t="shared" si="22"/>
        <v>0.33314302920806982</v>
      </c>
      <c r="O45" s="8"/>
      <c r="P45" s="9">
        <f t="shared" si="8"/>
        <v>104.94000000000001</v>
      </c>
      <c r="Q45" s="9"/>
      <c r="R45" s="9"/>
      <c r="S45" s="9"/>
      <c r="T45" s="9"/>
      <c r="U45" s="9"/>
      <c r="V45" s="9"/>
      <c r="W45" s="9"/>
      <c r="X45" s="9"/>
      <c r="Y45" s="9"/>
      <c r="AA45" s="9"/>
      <c r="AB45" s="9"/>
      <c r="AC45" s="9"/>
      <c r="AD45" s="9"/>
      <c r="AE45" s="9"/>
      <c r="AF45" s="9">
        <v>0</v>
      </c>
      <c r="AG45" s="9"/>
      <c r="AH45" s="9"/>
      <c r="AI45" s="10">
        <v>97.04</v>
      </c>
      <c r="AK45" s="10">
        <v>7.9</v>
      </c>
      <c r="AL45" s="208"/>
      <c r="AM45" s="208"/>
      <c r="AN45" s="208"/>
    </row>
    <row r="46" spans="1:40" s="10" customFormat="1" ht="39.950000000000003" customHeight="1" x14ac:dyDescent="0.25">
      <c r="A46" s="55">
        <v>1</v>
      </c>
      <c r="B46" s="55" t="s">
        <v>112</v>
      </c>
      <c r="C46" s="69" t="s">
        <v>113</v>
      </c>
      <c r="D46" s="53" t="s">
        <v>93</v>
      </c>
      <c r="E46" s="71">
        <v>460</v>
      </c>
      <c r="F46" s="72">
        <v>52.1</v>
      </c>
      <c r="G46" s="73">
        <f t="shared" si="16"/>
        <v>23966</v>
      </c>
      <c r="H46" s="74">
        <f t="shared" si="21"/>
        <v>90.69</v>
      </c>
      <c r="I46" s="73">
        <f t="shared" si="17"/>
        <v>4724.95</v>
      </c>
      <c r="J46" s="184"/>
      <c r="K46" s="75">
        <f t="shared" si="18"/>
        <v>0</v>
      </c>
      <c r="L46" s="76">
        <f t="shared" si="19"/>
        <v>369.31</v>
      </c>
      <c r="M46" s="73">
        <f t="shared" si="20"/>
        <v>19241.05</v>
      </c>
      <c r="N46" s="86">
        <f t="shared" si="22"/>
        <v>0.19715221563882165</v>
      </c>
      <c r="O46" s="8"/>
      <c r="P46" s="9">
        <f t="shared" si="8"/>
        <v>90.69</v>
      </c>
      <c r="Q46" s="9"/>
      <c r="R46" s="9"/>
      <c r="S46" s="9"/>
      <c r="T46" s="9"/>
      <c r="U46" s="9"/>
      <c r="V46" s="9"/>
      <c r="W46" s="9"/>
      <c r="X46" s="9"/>
      <c r="Y46" s="9"/>
      <c r="AA46" s="9"/>
      <c r="AB46" s="9"/>
      <c r="AC46" s="9"/>
      <c r="AD46" s="9"/>
      <c r="AE46" s="9"/>
      <c r="AF46" s="9"/>
      <c r="AG46" s="9"/>
      <c r="AH46" s="9"/>
      <c r="AI46" s="10">
        <v>70.12</v>
      </c>
      <c r="AJ46" s="10">
        <v>20.57</v>
      </c>
      <c r="AL46" s="208"/>
      <c r="AM46" s="208"/>
      <c r="AN46" s="208"/>
    </row>
    <row r="47" spans="1:40" s="10" customFormat="1" ht="39.950000000000003" customHeight="1" x14ac:dyDescent="0.25">
      <c r="A47" s="55">
        <v>1</v>
      </c>
      <c r="B47" s="55" t="s">
        <v>114</v>
      </c>
      <c r="C47" s="89" t="s">
        <v>115</v>
      </c>
      <c r="D47" s="53" t="s">
        <v>93</v>
      </c>
      <c r="E47" s="71">
        <f>117.82+0.7283444</f>
        <v>118.54834439999999</v>
      </c>
      <c r="F47" s="72">
        <v>231.58</v>
      </c>
      <c r="G47" s="73">
        <f t="shared" si="16"/>
        <v>27453.43</v>
      </c>
      <c r="H47" s="74">
        <f t="shared" si="21"/>
        <v>118.55</v>
      </c>
      <c r="I47" s="73">
        <f t="shared" si="17"/>
        <v>27453.81</v>
      </c>
      <c r="J47" s="184"/>
      <c r="K47" s="75">
        <f t="shared" si="18"/>
        <v>0</v>
      </c>
      <c r="L47" s="76">
        <f t="shared" si="19"/>
        <v>-1.6556000000065296E-3</v>
      </c>
      <c r="M47" s="73">
        <f t="shared" si="20"/>
        <v>-0.38</v>
      </c>
      <c r="N47" s="86">
        <f t="shared" si="22"/>
        <v>1.0000138416219759</v>
      </c>
      <c r="O47" s="8"/>
      <c r="P47" s="9">
        <f t="shared" si="8"/>
        <v>118.55</v>
      </c>
      <c r="Q47" s="9"/>
      <c r="R47" s="9"/>
      <c r="S47" s="9"/>
      <c r="T47" s="9"/>
      <c r="U47" s="9"/>
      <c r="V47" s="9"/>
      <c r="W47" s="9"/>
      <c r="X47" s="9"/>
      <c r="Y47" s="9"/>
      <c r="AA47" s="9"/>
      <c r="AB47" s="9"/>
      <c r="AC47" s="9"/>
      <c r="AD47" s="9"/>
      <c r="AE47" s="9"/>
      <c r="AF47" s="9">
        <v>15.15</v>
      </c>
      <c r="AG47" s="9"/>
      <c r="AH47" s="9"/>
      <c r="AI47" s="10">
        <v>86.32</v>
      </c>
      <c r="AJ47" s="10">
        <v>17.079999999999998</v>
      </c>
      <c r="AL47" s="208"/>
      <c r="AM47" s="208"/>
      <c r="AN47" s="208"/>
    </row>
    <row r="48" spans="1:40" s="10" customFormat="1" ht="39.950000000000003" customHeight="1" x14ac:dyDescent="0.25">
      <c r="A48" s="55">
        <v>1</v>
      </c>
      <c r="B48" s="55" t="s">
        <v>116</v>
      </c>
      <c r="C48" s="89" t="s">
        <v>117</v>
      </c>
      <c r="D48" s="53" t="s">
        <v>96</v>
      </c>
      <c r="E48" s="71">
        <v>23020</v>
      </c>
      <c r="F48" s="91">
        <v>0.8</v>
      </c>
      <c r="G48" s="73">
        <f t="shared" si="16"/>
        <v>18416</v>
      </c>
      <c r="H48" s="74">
        <f t="shared" si="21"/>
        <v>4777.4199999999992</v>
      </c>
      <c r="I48" s="73">
        <f t="shared" si="17"/>
        <v>3821.94</v>
      </c>
      <c r="J48" s="184"/>
      <c r="K48" s="75">
        <f t="shared" si="18"/>
        <v>0</v>
      </c>
      <c r="L48" s="76">
        <f t="shared" si="19"/>
        <v>18242.580000000002</v>
      </c>
      <c r="M48" s="73">
        <f t="shared" si="20"/>
        <v>14594.06</v>
      </c>
      <c r="N48" s="86">
        <f t="shared" si="22"/>
        <v>0.20753366637706341</v>
      </c>
      <c r="O48" s="8"/>
      <c r="P48" s="9">
        <f t="shared" si="8"/>
        <v>4777.4199999999992</v>
      </c>
      <c r="Q48" s="9"/>
      <c r="R48" s="9"/>
      <c r="S48" s="9"/>
      <c r="T48" s="9"/>
      <c r="U48" s="9"/>
      <c r="V48" s="9"/>
      <c r="W48" s="9"/>
      <c r="X48" s="9"/>
      <c r="Y48" s="9"/>
      <c r="AA48" s="9"/>
      <c r="AB48" s="9"/>
      <c r="AC48" s="9"/>
      <c r="AD48" s="9"/>
      <c r="AE48" s="9"/>
      <c r="AF48" s="9"/>
      <c r="AG48" s="9"/>
      <c r="AH48" s="9"/>
      <c r="AI48" s="10">
        <v>3599.45</v>
      </c>
      <c r="AJ48" s="10">
        <v>1065.8499999999999</v>
      </c>
      <c r="AK48" s="10">
        <v>112.12</v>
      </c>
      <c r="AL48" s="208"/>
      <c r="AM48" s="208"/>
      <c r="AN48" s="208"/>
    </row>
    <row r="49" spans="1:40" s="10" customFormat="1" ht="39.950000000000003" customHeight="1" x14ac:dyDescent="0.25">
      <c r="A49" s="55">
        <v>1</v>
      </c>
      <c r="B49" s="55" t="s">
        <v>118</v>
      </c>
      <c r="C49" s="89" t="s">
        <v>119</v>
      </c>
      <c r="D49" s="53" t="s">
        <v>45</v>
      </c>
      <c r="E49" s="71">
        <v>144.55000000000001</v>
      </c>
      <c r="F49" s="91">
        <v>1493.61</v>
      </c>
      <c r="G49" s="73">
        <f t="shared" si="16"/>
        <v>215901.33</v>
      </c>
      <c r="H49" s="74">
        <f t="shared" si="21"/>
        <v>144.55000000000001</v>
      </c>
      <c r="I49" s="73">
        <f t="shared" si="17"/>
        <v>215901.33</v>
      </c>
      <c r="J49" s="181">
        <v>77.55</v>
      </c>
      <c r="K49" s="75">
        <f t="shared" si="18"/>
        <v>115829.46</v>
      </c>
      <c r="L49" s="76">
        <f t="shared" si="19"/>
        <v>0</v>
      </c>
      <c r="M49" s="73">
        <f t="shared" si="20"/>
        <v>0</v>
      </c>
      <c r="N49" s="86">
        <f t="shared" si="22"/>
        <v>1</v>
      </c>
      <c r="O49" s="8"/>
      <c r="P49" s="9">
        <f t="shared" si="8"/>
        <v>67</v>
      </c>
      <c r="Q49" s="9"/>
      <c r="R49" s="9"/>
      <c r="S49" s="9"/>
      <c r="T49" s="9"/>
      <c r="U49" s="9"/>
      <c r="V49" s="9"/>
      <c r="W49" s="9"/>
      <c r="X49" s="9"/>
      <c r="Y49" s="9"/>
      <c r="AA49" s="9"/>
      <c r="AB49" s="9"/>
      <c r="AC49" s="9"/>
      <c r="AD49" s="9"/>
      <c r="AE49" s="9"/>
      <c r="AF49" s="9"/>
      <c r="AG49" s="9">
        <v>67</v>
      </c>
      <c r="AH49" s="9"/>
      <c r="AL49" s="202"/>
      <c r="AM49" s="202"/>
      <c r="AN49" s="202"/>
    </row>
    <row r="50" spans="1:40" s="10" customFormat="1" ht="39.950000000000003" customHeight="1" x14ac:dyDescent="0.25">
      <c r="A50" s="55">
        <v>1</v>
      </c>
      <c r="B50" s="55" t="s">
        <v>120</v>
      </c>
      <c r="C50" s="89" t="s">
        <v>121</v>
      </c>
      <c r="D50" s="53" t="s">
        <v>45</v>
      </c>
      <c r="E50" s="78">
        <v>51</v>
      </c>
      <c r="F50" s="72">
        <v>2602.34</v>
      </c>
      <c r="G50" s="73">
        <f t="shared" si="16"/>
        <v>132719.34</v>
      </c>
      <c r="H50" s="74">
        <f t="shared" si="21"/>
        <v>51</v>
      </c>
      <c r="I50" s="87">
        <f t="shared" si="17"/>
        <v>132719.34</v>
      </c>
      <c r="J50" s="269">
        <v>-7</v>
      </c>
      <c r="K50" s="88">
        <f t="shared" si="18"/>
        <v>-18216.38</v>
      </c>
      <c r="L50" s="76">
        <f t="shared" si="19"/>
        <v>0</v>
      </c>
      <c r="M50" s="73">
        <f t="shared" si="20"/>
        <v>0</v>
      </c>
      <c r="N50" s="86">
        <f t="shared" si="22"/>
        <v>1</v>
      </c>
      <c r="O50" s="8"/>
      <c r="P50" s="9">
        <f t="shared" si="8"/>
        <v>58</v>
      </c>
      <c r="Q50" s="9"/>
      <c r="R50" s="9"/>
      <c r="S50" s="9"/>
      <c r="T50" s="9"/>
      <c r="U50" s="9"/>
      <c r="V50" s="9"/>
      <c r="W50" s="9"/>
      <c r="X50" s="9"/>
      <c r="Y50" s="9"/>
      <c r="AA50" s="9"/>
      <c r="AB50" s="9"/>
      <c r="AC50" s="9"/>
      <c r="AD50" s="9"/>
      <c r="AE50" s="9"/>
      <c r="AF50" s="9"/>
      <c r="AG50" s="9"/>
      <c r="AH50" s="9"/>
      <c r="AJ50" s="10">
        <v>37.5</v>
      </c>
      <c r="AK50" s="10">
        <v>20.5</v>
      </c>
      <c r="AL50" s="202"/>
      <c r="AM50" s="202"/>
      <c r="AN50" s="202"/>
    </row>
    <row r="51" spans="1:40" s="10" customFormat="1" ht="39.950000000000003" customHeight="1" x14ac:dyDescent="0.25">
      <c r="A51" s="53">
        <v>1</v>
      </c>
      <c r="B51" s="53" t="s">
        <v>122</v>
      </c>
      <c r="C51" s="89" t="s">
        <v>123</v>
      </c>
      <c r="D51" s="53" t="s">
        <v>45</v>
      </c>
      <c r="E51" s="78">
        <v>10</v>
      </c>
      <c r="F51" s="72">
        <v>4835.95</v>
      </c>
      <c r="G51" s="73">
        <f t="shared" si="16"/>
        <v>48359.5</v>
      </c>
      <c r="H51" s="74">
        <f t="shared" si="21"/>
        <v>10</v>
      </c>
      <c r="I51" s="87">
        <f t="shared" si="17"/>
        <v>48359.5</v>
      </c>
      <c r="J51" s="181"/>
      <c r="K51" s="88">
        <f t="shared" si="18"/>
        <v>0</v>
      </c>
      <c r="L51" s="76">
        <f t="shared" si="19"/>
        <v>0</v>
      </c>
      <c r="M51" s="73">
        <f t="shared" si="20"/>
        <v>0</v>
      </c>
      <c r="N51" s="86">
        <f t="shared" si="22"/>
        <v>1</v>
      </c>
      <c r="O51" s="8"/>
      <c r="P51" s="9">
        <f t="shared" si="8"/>
        <v>10</v>
      </c>
      <c r="Q51" s="9"/>
      <c r="R51" s="9"/>
      <c r="S51" s="9"/>
      <c r="T51" s="9"/>
      <c r="U51" s="9"/>
      <c r="V51" s="9"/>
      <c r="W51" s="9"/>
      <c r="X51" s="9"/>
      <c r="Y51" s="9"/>
      <c r="AA51" s="9"/>
      <c r="AB51" s="9"/>
      <c r="AC51" s="9"/>
      <c r="AD51" s="9"/>
      <c r="AE51" s="9"/>
      <c r="AF51" s="9"/>
      <c r="AG51" s="9"/>
      <c r="AH51" s="9"/>
      <c r="AK51" s="10">
        <v>10</v>
      </c>
      <c r="AL51" s="202"/>
      <c r="AM51" s="202"/>
      <c r="AN51" s="202"/>
    </row>
    <row r="52" spans="1:40" s="10" customFormat="1" ht="39.950000000000003" customHeight="1" x14ac:dyDescent="0.25">
      <c r="A52" s="53">
        <v>1</v>
      </c>
      <c r="B52" s="53" t="s">
        <v>124</v>
      </c>
      <c r="C52" s="69" t="s">
        <v>125</v>
      </c>
      <c r="D52" s="70" t="s">
        <v>45</v>
      </c>
      <c r="E52" s="71">
        <v>426</v>
      </c>
      <c r="F52" s="72">
        <v>37.06</v>
      </c>
      <c r="G52" s="73">
        <f t="shared" si="16"/>
        <v>15787.56</v>
      </c>
      <c r="H52" s="74">
        <f t="shared" si="21"/>
        <v>426</v>
      </c>
      <c r="I52" s="73">
        <f t="shared" si="17"/>
        <v>15787.56</v>
      </c>
      <c r="J52" s="179">
        <v>226</v>
      </c>
      <c r="K52" s="75">
        <f t="shared" si="18"/>
        <v>8375.56</v>
      </c>
      <c r="L52" s="76">
        <f t="shared" si="19"/>
        <v>0</v>
      </c>
      <c r="M52" s="73">
        <f t="shared" si="20"/>
        <v>0</v>
      </c>
      <c r="N52" s="86">
        <f t="shared" si="22"/>
        <v>1</v>
      </c>
      <c r="O52" s="8"/>
      <c r="P52" s="9">
        <f t="shared" si="8"/>
        <v>200</v>
      </c>
      <c r="Q52" s="9"/>
      <c r="R52" s="9"/>
      <c r="S52" s="9"/>
      <c r="T52" s="9"/>
      <c r="U52" s="9"/>
      <c r="V52" s="9"/>
      <c r="W52" s="9"/>
      <c r="X52" s="9"/>
      <c r="Y52" s="9"/>
      <c r="AA52" s="9"/>
      <c r="AB52" s="9"/>
      <c r="AC52" s="9"/>
      <c r="AD52" s="9"/>
      <c r="AE52" s="9"/>
      <c r="AF52" s="9"/>
      <c r="AG52" s="9">
        <v>120</v>
      </c>
      <c r="AH52" s="9">
        <v>59.4</v>
      </c>
      <c r="AI52" s="10">
        <v>20.6</v>
      </c>
      <c r="AL52" s="205"/>
      <c r="AM52" s="205"/>
      <c r="AN52" s="205"/>
    </row>
    <row r="53" spans="1:40" s="10" customFormat="1" ht="39.950000000000003" customHeight="1" x14ac:dyDescent="0.25">
      <c r="A53" s="53">
        <v>1</v>
      </c>
      <c r="B53" s="53" t="s">
        <v>126</v>
      </c>
      <c r="C53" s="89" t="s">
        <v>127</v>
      </c>
      <c r="D53" s="53" t="s">
        <v>71</v>
      </c>
      <c r="E53" s="78">
        <v>465</v>
      </c>
      <c r="F53" s="72">
        <v>11.23</v>
      </c>
      <c r="G53" s="73">
        <f t="shared" si="16"/>
        <v>5221.95</v>
      </c>
      <c r="H53" s="74">
        <f t="shared" si="21"/>
        <v>326.09000000000003</v>
      </c>
      <c r="I53" s="73">
        <f t="shared" si="17"/>
        <v>3661.99</v>
      </c>
      <c r="J53" s="181"/>
      <c r="K53" s="75">
        <f t="shared" si="18"/>
        <v>0</v>
      </c>
      <c r="L53" s="76">
        <f t="shared" si="19"/>
        <v>138.90999999999997</v>
      </c>
      <c r="M53" s="73">
        <f t="shared" si="20"/>
        <v>1559.96</v>
      </c>
      <c r="N53" s="86">
        <f t="shared" si="22"/>
        <v>0.70126868315476021</v>
      </c>
      <c r="O53" s="8"/>
      <c r="P53" s="9">
        <f t="shared" si="8"/>
        <v>326.09000000000003</v>
      </c>
      <c r="Q53" s="9"/>
      <c r="R53" s="9"/>
      <c r="S53" s="9"/>
      <c r="T53" s="9"/>
      <c r="U53" s="9"/>
      <c r="V53" s="9"/>
      <c r="W53" s="9"/>
      <c r="X53" s="9"/>
      <c r="Y53" s="9"/>
      <c r="AA53" s="9">
        <v>4.38</v>
      </c>
      <c r="AB53" s="9"/>
      <c r="AC53" s="9"/>
      <c r="AD53" s="9"/>
      <c r="AE53" s="9"/>
      <c r="AF53" s="9"/>
      <c r="AG53" s="9"/>
      <c r="AH53" s="9"/>
      <c r="AK53" s="10">
        <v>319.17</v>
      </c>
      <c r="AL53" s="202">
        <v>2.54</v>
      </c>
      <c r="AM53" s="202"/>
      <c r="AN53" s="202"/>
    </row>
    <row r="54" spans="1:40" s="10" customFormat="1" ht="36" hidden="1" x14ac:dyDescent="0.25">
      <c r="A54" s="239">
        <v>1</v>
      </c>
      <c r="B54" s="239" t="s">
        <v>128</v>
      </c>
      <c r="C54" s="238" t="s">
        <v>129</v>
      </c>
      <c r="D54" s="239" t="s">
        <v>45</v>
      </c>
      <c r="E54" s="229">
        <v>0</v>
      </c>
      <c r="F54" s="230">
        <v>650.34</v>
      </c>
      <c r="G54" s="231">
        <f t="shared" si="16"/>
        <v>0</v>
      </c>
      <c r="H54" s="232">
        <f t="shared" si="21"/>
        <v>0</v>
      </c>
      <c r="I54" s="244">
        <f t="shared" si="17"/>
        <v>0</v>
      </c>
      <c r="J54" s="245"/>
      <c r="K54" s="246">
        <f t="shared" si="18"/>
        <v>0</v>
      </c>
      <c r="L54" s="235">
        <f t="shared" si="19"/>
        <v>0</v>
      </c>
      <c r="M54" s="231">
        <f t="shared" si="20"/>
        <v>0</v>
      </c>
      <c r="N54" s="237" t="str">
        <f t="shared" si="22"/>
        <v/>
      </c>
      <c r="O54" s="8"/>
      <c r="P54" s="9">
        <f t="shared" si="8"/>
        <v>0</v>
      </c>
      <c r="Q54" s="9"/>
      <c r="R54" s="9"/>
      <c r="S54" s="9"/>
      <c r="T54" s="9"/>
      <c r="U54" s="9"/>
      <c r="V54" s="9"/>
      <c r="W54" s="9"/>
      <c r="X54" s="9"/>
      <c r="Y54" s="9"/>
      <c r="AA54" s="9"/>
      <c r="AB54" s="9"/>
      <c r="AC54" s="9"/>
      <c r="AD54" s="9"/>
      <c r="AE54" s="9"/>
      <c r="AF54" s="9"/>
      <c r="AG54" s="9"/>
      <c r="AH54" s="9"/>
      <c r="AL54" s="202"/>
      <c r="AM54" s="202"/>
      <c r="AN54" s="202"/>
    </row>
    <row r="55" spans="1:40" s="10" customFormat="1" ht="54" hidden="1" x14ac:dyDescent="0.25">
      <c r="A55" s="239">
        <v>1</v>
      </c>
      <c r="B55" s="239" t="s">
        <v>130</v>
      </c>
      <c r="C55" s="238" t="s">
        <v>131</v>
      </c>
      <c r="D55" s="239" t="s">
        <v>71</v>
      </c>
      <c r="E55" s="229">
        <v>0</v>
      </c>
      <c r="F55" s="230">
        <v>52.89</v>
      </c>
      <c r="G55" s="231">
        <f t="shared" si="16"/>
        <v>0</v>
      </c>
      <c r="H55" s="232">
        <f t="shared" si="21"/>
        <v>0</v>
      </c>
      <c r="I55" s="244">
        <f t="shared" si="17"/>
        <v>0</v>
      </c>
      <c r="J55" s="245"/>
      <c r="K55" s="246">
        <f t="shared" si="18"/>
        <v>0</v>
      </c>
      <c r="L55" s="235">
        <f t="shared" si="19"/>
        <v>0</v>
      </c>
      <c r="M55" s="231">
        <f t="shared" si="20"/>
        <v>0</v>
      </c>
      <c r="N55" s="237" t="str">
        <f t="shared" si="22"/>
        <v/>
      </c>
      <c r="O55" s="8"/>
      <c r="P55" s="9">
        <f t="shared" si="8"/>
        <v>0</v>
      </c>
      <c r="Q55" s="9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  <c r="AE55" s="9"/>
      <c r="AF55" s="9"/>
      <c r="AG55" s="9"/>
      <c r="AH55" s="9"/>
      <c r="AL55" s="202"/>
      <c r="AM55" s="202"/>
      <c r="AN55" s="202"/>
    </row>
    <row r="56" spans="1:40" s="10" customFormat="1" ht="39.950000000000003" customHeight="1" x14ac:dyDescent="0.25">
      <c r="A56" s="53">
        <v>1</v>
      </c>
      <c r="B56" s="53" t="s">
        <v>132</v>
      </c>
      <c r="C56" s="89" t="s">
        <v>133</v>
      </c>
      <c r="D56" s="53" t="s">
        <v>45</v>
      </c>
      <c r="E56" s="71">
        <v>100</v>
      </c>
      <c r="F56" s="72">
        <v>155.9</v>
      </c>
      <c r="G56" s="73">
        <f t="shared" si="16"/>
        <v>15590</v>
      </c>
      <c r="H56" s="74">
        <f t="shared" si="21"/>
        <v>100</v>
      </c>
      <c r="I56" s="87">
        <f t="shared" si="17"/>
        <v>15590</v>
      </c>
      <c r="J56" s="181"/>
      <c r="K56" s="88">
        <f t="shared" si="18"/>
        <v>0</v>
      </c>
      <c r="L56" s="76">
        <f t="shared" si="19"/>
        <v>0</v>
      </c>
      <c r="M56" s="73">
        <f t="shared" si="20"/>
        <v>0</v>
      </c>
      <c r="N56" s="86">
        <f t="shared" si="22"/>
        <v>1</v>
      </c>
      <c r="O56" s="8"/>
      <c r="P56" s="9">
        <f t="shared" si="8"/>
        <v>100</v>
      </c>
      <c r="Q56" s="9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  <c r="AE56" s="9"/>
      <c r="AF56" s="9"/>
      <c r="AG56" s="9"/>
      <c r="AH56" s="9"/>
      <c r="AK56" s="10">
        <v>40</v>
      </c>
      <c r="AL56" s="202">
        <v>60</v>
      </c>
      <c r="AM56" s="202"/>
      <c r="AN56" s="202"/>
    </row>
    <row r="57" spans="1:40" s="10" customFormat="1" ht="39.950000000000003" customHeight="1" x14ac:dyDescent="0.25">
      <c r="A57" s="53">
        <v>1</v>
      </c>
      <c r="B57" s="53" t="s">
        <v>134</v>
      </c>
      <c r="C57" s="89" t="s">
        <v>135</v>
      </c>
      <c r="D57" s="53" t="s">
        <v>71</v>
      </c>
      <c r="E57" s="78">
        <v>465</v>
      </c>
      <c r="F57" s="72">
        <v>50.7</v>
      </c>
      <c r="G57" s="73">
        <f t="shared" si="16"/>
        <v>23575.5</v>
      </c>
      <c r="H57" s="74">
        <f t="shared" si="21"/>
        <v>24.97</v>
      </c>
      <c r="I57" s="73">
        <f t="shared" si="17"/>
        <v>1265.98</v>
      </c>
      <c r="J57" s="181"/>
      <c r="K57" s="75">
        <f t="shared" si="18"/>
        <v>0</v>
      </c>
      <c r="L57" s="76">
        <f t="shared" si="19"/>
        <v>440.03</v>
      </c>
      <c r="M57" s="73">
        <f t="shared" si="20"/>
        <v>22309.52</v>
      </c>
      <c r="N57" s="86">
        <f t="shared" si="22"/>
        <v>5.3698967148098666E-2</v>
      </c>
      <c r="O57" s="8"/>
      <c r="P57" s="9">
        <f t="shared" si="8"/>
        <v>24.97</v>
      </c>
      <c r="Q57" s="9"/>
      <c r="R57" s="9"/>
      <c r="S57" s="9"/>
      <c r="T57" s="9"/>
      <c r="U57" s="9"/>
      <c r="V57" s="9"/>
      <c r="W57" s="9"/>
      <c r="X57" s="9"/>
      <c r="Y57" s="9"/>
      <c r="AA57" s="9">
        <v>4.38</v>
      </c>
      <c r="AB57" s="9"/>
      <c r="AC57" s="9"/>
      <c r="AD57" s="9"/>
      <c r="AE57" s="9"/>
      <c r="AF57" s="9"/>
      <c r="AG57" s="9"/>
      <c r="AH57" s="9"/>
      <c r="AK57" s="10">
        <v>15.2</v>
      </c>
      <c r="AL57" s="202">
        <v>5.39</v>
      </c>
      <c r="AM57" s="202"/>
      <c r="AN57" s="202"/>
    </row>
    <row r="58" spans="1:40" s="10" customFormat="1" ht="39.950000000000003" customHeight="1" x14ac:dyDescent="0.25">
      <c r="A58" s="53">
        <v>1</v>
      </c>
      <c r="B58" s="53" t="s">
        <v>136</v>
      </c>
      <c r="C58" s="89" t="s">
        <v>137</v>
      </c>
      <c r="D58" s="53" t="s">
        <v>71</v>
      </c>
      <c r="E58" s="78">
        <v>465</v>
      </c>
      <c r="F58" s="72">
        <v>13.35</v>
      </c>
      <c r="G58" s="73">
        <f t="shared" si="16"/>
        <v>6207.75</v>
      </c>
      <c r="H58" s="74">
        <f t="shared" si="21"/>
        <v>323.55</v>
      </c>
      <c r="I58" s="73">
        <f t="shared" si="17"/>
        <v>4319.3900000000003</v>
      </c>
      <c r="J58" s="181"/>
      <c r="K58" s="75">
        <f t="shared" si="18"/>
        <v>0</v>
      </c>
      <c r="L58" s="76">
        <f t="shared" si="19"/>
        <v>141.44999999999999</v>
      </c>
      <c r="M58" s="73">
        <f t="shared" si="20"/>
        <v>1888.36</v>
      </c>
      <c r="N58" s="86">
        <f t="shared" si="22"/>
        <v>0.6958060488904998</v>
      </c>
      <c r="O58" s="8"/>
      <c r="P58" s="9">
        <f t="shared" si="8"/>
        <v>323.55</v>
      </c>
      <c r="Q58" s="9"/>
      <c r="R58" s="9"/>
      <c r="S58" s="9"/>
      <c r="T58" s="9"/>
      <c r="U58" s="9"/>
      <c r="V58" s="9"/>
      <c r="W58" s="9"/>
      <c r="X58" s="9"/>
      <c r="Y58" s="9"/>
      <c r="AA58" s="9">
        <v>4.38</v>
      </c>
      <c r="AB58" s="9"/>
      <c r="AC58" s="9"/>
      <c r="AD58" s="9"/>
      <c r="AE58" s="9"/>
      <c r="AF58" s="9"/>
      <c r="AG58" s="9"/>
      <c r="AH58" s="9"/>
      <c r="AK58" s="10">
        <v>319.17</v>
      </c>
      <c r="AL58" s="202"/>
      <c r="AM58" s="202"/>
      <c r="AN58" s="202"/>
    </row>
    <row r="59" spans="1:40" s="10" customFormat="1" ht="39.950000000000003" hidden="1" customHeight="1" x14ac:dyDescent="0.25">
      <c r="A59" s="239">
        <v>1</v>
      </c>
      <c r="B59" s="239" t="s">
        <v>138</v>
      </c>
      <c r="C59" s="227" t="s">
        <v>139</v>
      </c>
      <c r="D59" s="228" t="s">
        <v>93</v>
      </c>
      <c r="E59" s="229">
        <v>0</v>
      </c>
      <c r="F59" s="230">
        <v>606.86</v>
      </c>
      <c r="G59" s="231">
        <f t="shared" si="16"/>
        <v>0</v>
      </c>
      <c r="H59" s="232">
        <f t="shared" si="21"/>
        <v>0</v>
      </c>
      <c r="I59" s="244">
        <f t="shared" si="17"/>
        <v>0</v>
      </c>
      <c r="J59" s="245"/>
      <c r="K59" s="246">
        <f t="shared" si="18"/>
        <v>0</v>
      </c>
      <c r="L59" s="235">
        <f t="shared" si="19"/>
        <v>0</v>
      </c>
      <c r="M59" s="231">
        <f t="shared" si="20"/>
        <v>0</v>
      </c>
      <c r="N59" s="237" t="str">
        <f t="shared" si="22"/>
        <v/>
      </c>
      <c r="O59" s="8"/>
      <c r="P59" s="9">
        <f t="shared" si="8"/>
        <v>0</v>
      </c>
      <c r="Q59" s="9"/>
      <c r="R59" s="9"/>
      <c r="S59" s="9"/>
      <c r="T59" s="9"/>
      <c r="U59" s="9"/>
      <c r="V59" s="9"/>
      <c r="W59" s="9"/>
      <c r="X59" s="9"/>
      <c r="Y59" s="9"/>
      <c r="AA59" s="9"/>
      <c r="AB59" s="9"/>
      <c r="AC59" s="9"/>
      <c r="AD59" s="9"/>
      <c r="AE59" s="9"/>
      <c r="AF59" s="9"/>
      <c r="AG59" s="9"/>
      <c r="AH59" s="9"/>
      <c r="AL59" s="202"/>
      <c r="AM59" s="202"/>
      <c r="AN59" s="202"/>
    </row>
    <row r="60" spans="1:40" s="10" customFormat="1" ht="39.950000000000003" customHeight="1" x14ac:dyDescent="0.25">
      <c r="A60" s="53">
        <v>1</v>
      </c>
      <c r="B60" s="53" t="s">
        <v>140</v>
      </c>
      <c r="C60" s="69" t="s">
        <v>141</v>
      </c>
      <c r="D60" s="70" t="s">
        <v>71</v>
      </c>
      <c r="E60" s="71">
        <v>271.13</v>
      </c>
      <c r="F60" s="72">
        <v>59.91</v>
      </c>
      <c r="G60" s="73">
        <f t="shared" si="16"/>
        <v>16243.4</v>
      </c>
      <c r="H60" s="74">
        <f t="shared" si="21"/>
        <v>271.13</v>
      </c>
      <c r="I60" s="73">
        <f t="shared" si="17"/>
        <v>16243.4</v>
      </c>
      <c r="J60" s="181">
        <v>71.13</v>
      </c>
      <c r="K60" s="75">
        <f t="shared" si="18"/>
        <v>4261.3999999999996</v>
      </c>
      <c r="L60" s="76">
        <f t="shared" si="19"/>
        <v>0</v>
      </c>
      <c r="M60" s="73">
        <f t="shared" si="20"/>
        <v>0</v>
      </c>
      <c r="N60" s="86">
        <f t="shared" si="22"/>
        <v>1</v>
      </c>
      <c r="O60" s="8"/>
      <c r="P60" s="9">
        <f t="shared" si="8"/>
        <v>200</v>
      </c>
      <c r="Q60" s="9"/>
      <c r="R60" s="9"/>
      <c r="S60" s="9"/>
      <c r="T60" s="9"/>
      <c r="U60" s="9"/>
      <c r="V60" s="9"/>
      <c r="W60" s="9"/>
      <c r="X60" s="9"/>
      <c r="Y60" s="9"/>
      <c r="AA60" s="9">
        <v>21.62</v>
      </c>
      <c r="AB60" s="9"/>
      <c r="AC60" s="9"/>
      <c r="AD60" s="9">
        <v>156.18</v>
      </c>
      <c r="AE60" s="9"/>
      <c r="AF60" s="9"/>
      <c r="AG60" s="9"/>
      <c r="AH60" s="9"/>
      <c r="AI60" s="10">
        <v>22.2</v>
      </c>
      <c r="AL60" s="202"/>
      <c r="AM60" s="202"/>
      <c r="AN60" s="202"/>
    </row>
    <row r="61" spans="1:40" s="10" customFormat="1" ht="39.950000000000003" customHeight="1" x14ac:dyDescent="0.25">
      <c r="A61" s="53">
        <v>1</v>
      </c>
      <c r="B61" s="53" t="s">
        <v>142</v>
      </c>
      <c r="C61" s="69" t="s">
        <v>143</v>
      </c>
      <c r="D61" s="70" t="s">
        <v>93</v>
      </c>
      <c r="E61" s="71">
        <v>63.76</v>
      </c>
      <c r="F61" s="72">
        <v>325.2</v>
      </c>
      <c r="G61" s="73">
        <f t="shared" si="16"/>
        <v>20734.75</v>
      </c>
      <c r="H61" s="74">
        <f t="shared" si="21"/>
        <v>63.76</v>
      </c>
      <c r="I61" s="73">
        <f t="shared" si="17"/>
        <v>20734.75</v>
      </c>
      <c r="J61" s="181">
        <v>4.76</v>
      </c>
      <c r="K61" s="75">
        <f t="shared" si="18"/>
        <v>1547.95</v>
      </c>
      <c r="L61" s="76">
        <f t="shared" si="19"/>
        <v>0</v>
      </c>
      <c r="M61" s="73">
        <f t="shared" si="20"/>
        <v>0</v>
      </c>
      <c r="N61" s="222">
        <f t="shared" si="22"/>
        <v>1</v>
      </c>
      <c r="O61" s="8"/>
      <c r="P61" s="9">
        <f t="shared" si="8"/>
        <v>59</v>
      </c>
      <c r="Q61" s="9"/>
      <c r="R61" s="9"/>
      <c r="S61" s="9"/>
      <c r="T61" s="9"/>
      <c r="U61" s="9"/>
      <c r="V61" s="9"/>
      <c r="W61" s="9"/>
      <c r="X61" s="9"/>
      <c r="Y61" s="9">
        <v>10.53</v>
      </c>
      <c r="AA61" s="9">
        <v>14.02</v>
      </c>
      <c r="AB61" s="9"/>
      <c r="AC61" s="9"/>
      <c r="AD61" s="9">
        <v>30.87</v>
      </c>
      <c r="AE61" s="9">
        <v>3.58</v>
      </c>
      <c r="AF61" s="9"/>
      <c r="AG61" s="9"/>
      <c r="AH61" s="9"/>
      <c r="AL61" s="202"/>
      <c r="AM61" s="202"/>
      <c r="AN61" s="202"/>
    </row>
    <row r="62" spans="1:40" s="10" customFormat="1" ht="39.950000000000003" customHeight="1" x14ac:dyDescent="0.25">
      <c r="A62" s="53">
        <v>1</v>
      </c>
      <c r="B62" s="53" t="s">
        <v>144</v>
      </c>
      <c r="C62" s="69" t="s">
        <v>145</v>
      </c>
      <c r="D62" s="70" t="s">
        <v>146</v>
      </c>
      <c r="E62" s="71">
        <v>3900</v>
      </c>
      <c r="F62" s="72">
        <v>6.78</v>
      </c>
      <c r="G62" s="73">
        <f t="shared" si="16"/>
        <v>26442</v>
      </c>
      <c r="H62" s="74">
        <f t="shared" si="21"/>
        <v>1550.24</v>
      </c>
      <c r="I62" s="73">
        <f t="shared" si="17"/>
        <v>10510.63</v>
      </c>
      <c r="J62" s="184"/>
      <c r="K62" s="75">
        <f t="shared" si="18"/>
        <v>0</v>
      </c>
      <c r="L62" s="76">
        <f t="shared" si="19"/>
        <v>2349.7600000000002</v>
      </c>
      <c r="M62" s="73">
        <f t="shared" si="20"/>
        <v>15931.37</v>
      </c>
      <c r="N62" s="86">
        <f t="shared" si="22"/>
        <v>0.39749754178957714</v>
      </c>
      <c r="O62" s="8"/>
      <c r="P62" s="9">
        <f t="shared" si="8"/>
        <v>1550.24</v>
      </c>
      <c r="Q62" s="9"/>
      <c r="R62" s="9"/>
      <c r="S62" s="9"/>
      <c r="T62" s="9"/>
      <c r="U62" s="9"/>
      <c r="V62" s="9"/>
      <c r="W62" s="9"/>
      <c r="X62" s="9"/>
      <c r="Y62" s="9"/>
      <c r="AA62" s="9"/>
      <c r="AB62" s="9"/>
      <c r="AC62" s="9"/>
      <c r="AD62" s="9">
        <v>553.13</v>
      </c>
      <c r="AE62" s="9"/>
      <c r="AF62" s="9"/>
      <c r="AG62" s="9"/>
      <c r="AH62" s="9"/>
      <c r="AI62" s="10">
        <v>997.11</v>
      </c>
      <c r="AL62" s="208"/>
      <c r="AM62" s="208"/>
      <c r="AN62" s="208"/>
    </row>
    <row r="63" spans="1:40" s="10" customFormat="1" ht="39.950000000000003" customHeight="1" x14ac:dyDescent="0.25">
      <c r="A63" s="53">
        <v>1</v>
      </c>
      <c r="B63" s="53" t="s">
        <v>147</v>
      </c>
      <c r="C63" s="69" t="s">
        <v>148</v>
      </c>
      <c r="D63" s="70" t="s">
        <v>146</v>
      </c>
      <c r="E63" s="71">
        <v>2000</v>
      </c>
      <c r="F63" s="72">
        <v>6.68</v>
      </c>
      <c r="G63" s="73">
        <f t="shared" si="16"/>
        <v>13360</v>
      </c>
      <c r="H63" s="74">
        <f t="shared" si="21"/>
        <v>0</v>
      </c>
      <c r="I63" s="87">
        <f t="shared" si="17"/>
        <v>0</v>
      </c>
      <c r="J63" s="181"/>
      <c r="K63" s="88">
        <f t="shared" si="18"/>
        <v>0</v>
      </c>
      <c r="L63" s="76">
        <f t="shared" si="19"/>
        <v>2000</v>
      </c>
      <c r="M63" s="73">
        <f t="shared" si="20"/>
        <v>13360</v>
      </c>
      <c r="N63" s="86">
        <f t="shared" si="22"/>
        <v>0</v>
      </c>
      <c r="O63" s="8"/>
      <c r="P63" s="9">
        <f t="shared" si="8"/>
        <v>0</v>
      </c>
      <c r="Q63" s="9"/>
      <c r="R63" s="9"/>
      <c r="S63" s="9"/>
      <c r="T63" s="9"/>
      <c r="U63" s="9"/>
      <c r="V63" s="9"/>
      <c r="W63" s="9"/>
      <c r="X63" s="9"/>
      <c r="Y63" s="9"/>
      <c r="AA63" s="9"/>
      <c r="AB63" s="9"/>
      <c r="AC63" s="9"/>
      <c r="AD63" s="9"/>
      <c r="AE63" s="9"/>
      <c r="AF63" s="9"/>
      <c r="AG63" s="9"/>
      <c r="AH63" s="9"/>
      <c r="AL63" s="202"/>
      <c r="AM63" s="202"/>
      <c r="AN63" s="202"/>
    </row>
    <row r="64" spans="1:40" s="10" customFormat="1" ht="39.950000000000003" customHeight="1" x14ac:dyDescent="0.25">
      <c r="A64" s="53">
        <v>1</v>
      </c>
      <c r="B64" s="53" t="s">
        <v>149</v>
      </c>
      <c r="C64" s="89" t="s">
        <v>150</v>
      </c>
      <c r="D64" s="53" t="s">
        <v>45</v>
      </c>
      <c r="E64" s="71">
        <v>100</v>
      </c>
      <c r="F64" s="91">
        <v>618.92999999999995</v>
      </c>
      <c r="G64" s="73">
        <f t="shared" si="16"/>
        <v>61893</v>
      </c>
      <c r="H64" s="74">
        <f t="shared" si="21"/>
        <v>100</v>
      </c>
      <c r="I64" s="73">
        <f t="shared" si="17"/>
        <v>61893</v>
      </c>
      <c r="J64" s="181"/>
      <c r="K64" s="75">
        <f t="shared" si="18"/>
        <v>0</v>
      </c>
      <c r="L64" s="76">
        <f t="shared" si="19"/>
        <v>0</v>
      </c>
      <c r="M64" s="73">
        <f t="shared" si="20"/>
        <v>0</v>
      </c>
      <c r="N64" s="86">
        <f t="shared" si="22"/>
        <v>1</v>
      </c>
      <c r="O64" s="8"/>
      <c r="P64" s="9">
        <f t="shared" si="8"/>
        <v>100</v>
      </c>
      <c r="Q64" s="9"/>
      <c r="R64" s="9"/>
      <c r="S64" s="9"/>
      <c r="T64" s="9"/>
      <c r="U64" s="9"/>
      <c r="V64" s="9"/>
      <c r="W64" s="9"/>
      <c r="X64" s="9"/>
      <c r="Y64" s="9"/>
      <c r="AA64" s="9"/>
      <c r="AB64" s="9"/>
      <c r="AC64" s="9"/>
      <c r="AD64" s="9"/>
      <c r="AE64" s="9"/>
      <c r="AF64" s="9"/>
      <c r="AG64" s="9"/>
      <c r="AH64" s="9"/>
      <c r="AL64" s="202">
        <v>42</v>
      </c>
      <c r="AM64" s="202">
        <v>31</v>
      </c>
      <c r="AN64" s="202">
        <v>27</v>
      </c>
    </row>
    <row r="65" spans="1:40" s="10" customFormat="1" ht="39.950000000000003" customHeight="1" x14ac:dyDescent="0.25">
      <c r="A65" s="53">
        <v>1</v>
      </c>
      <c r="B65" s="53" t="s">
        <v>151</v>
      </c>
      <c r="C65" s="89" t="s">
        <v>152</v>
      </c>
      <c r="D65" s="53" t="s">
        <v>71</v>
      </c>
      <c r="E65" s="71">
        <v>300</v>
      </c>
      <c r="F65" s="72">
        <v>51.18</v>
      </c>
      <c r="G65" s="73">
        <f t="shared" si="16"/>
        <v>15354</v>
      </c>
      <c r="H65" s="74">
        <f t="shared" si="21"/>
        <v>130.9</v>
      </c>
      <c r="I65" s="182">
        <f t="shared" si="17"/>
        <v>6699.46</v>
      </c>
      <c r="J65" s="185"/>
      <c r="K65" s="183">
        <f t="shared" si="18"/>
        <v>0</v>
      </c>
      <c r="L65" s="76">
        <f t="shared" si="19"/>
        <v>169.1</v>
      </c>
      <c r="M65" s="73">
        <f t="shared" si="20"/>
        <v>8654.5400000000009</v>
      </c>
      <c r="N65" s="86">
        <f t="shared" si="22"/>
        <v>0.43633320307411749</v>
      </c>
      <c r="O65" s="8"/>
      <c r="P65" s="9">
        <f t="shared" si="8"/>
        <v>130.9</v>
      </c>
      <c r="Q65" s="9"/>
      <c r="R65" s="9"/>
      <c r="S65" s="9"/>
      <c r="T65" s="9"/>
      <c r="U65" s="9"/>
      <c r="V65" s="9"/>
      <c r="W65" s="9"/>
      <c r="X65" s="9"/>
      <c r="Y65" s="9"/>
      <c r="AA65" s="9"/>
      <c r="AB65" s="9"/>
      <c r="AC65" s="9"/>
      <c r="AD65" s="9"/>
      <c r="AE65" s="9"/>
      <c r="AF65" s="9"/>
      <c r="AG65" s="9"/>
      <c r="AH65" s="9"/>
      <c r="AI65" s="10">
        <v>130.9</v>
      </c>
      <c r="AL65" s="209"/>
      <c r="AM65" s="209"/>
      <c r="AN65" s="209"/>
    </row>
    <row r="66" spans="1:40" s="10" customFormat="1" ht="39.950000000000003" customHeight="1" x14ac:dyDescent="0.25">
      <c r="A66" s="274" t="s">
        <v>153</v>
      </c>
      <c r="B66" s="274"/>
      <c r="C66" s="274"/>
      <c r="D66" s="274"/>
      <c r="E66" s="274"/>
      <c r="F66" s="274"/>
      <c r="G66" s="79">
        <f>SUM(G35:G65)</f>
        <v>2423899.06</v>
      </c>
      <c r="H66" s="80"/>
      <c r="I66" s="79">
        <f>SUM(I35:I65)</f>
        <v>2281595.5900000003</v>
      </c>
      <c r="J66" s="188"/>
      <c r="K66" s="79">
        <f>SUM(K35:K65)</f>
        <v>112518.26999999999</v>
      </c>
      <c r="L66" s="82"/>
      <c r="M66" s="79">
        <f>SUM(M35:M65)</f>
        <v>142303.47</v>
      </c>
      <c r="N66" s="93">
        <f t="shared" si="22"/>
        <v>0.94129150328561961</v>
      </c>
      <c r="O66" s="8"/>
      <c r="P66" s="9">
        <f t="shared" si="8"/>
        <v>0</v>
      </c>
      <c r="Q66" s="9"/>
      <c r="R66" s="9"/>
      <c r="S66" s="9"/>
      <c r="T66" s="9"/>
      <c r="U66" s="9"/>
      <c r="V66" s="9"/>
      <c r="W66" s="9"/>
      <c r="X66" s="9"/>
      <c r="Y66" s="9"/>
      <c r="AA66" s="9"/>
      <c r="AB66" s="9"/>
      <c r="AC66" s="9"/>
      <c r="AD66" s="9"/>
      <c r="AE66" s="9"/>
      <c r="AF66" s="9"/>
      <c r="AG66" s="9"/>
      <c r="AH66" s="9"/>
      <c r="AL66" s="204"/>
      <c r="AM66" s="204"/>
      <c r="AN66" s="204"/>
    </row>
    <row r="67" spans="1:40" s="10" customFormat="1" ht="39.950000000000003" customHeight="1" x14ac:dyDescent="0.25">
      <c r="A67" s="68">
        <v>1</v>
      </c>
      <c r="B67" s="68" t="s">
        <v>154</v>
      </c>
      <c r="C67" s="83" t="s">
        <v>155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221"/>
      <c r="O67" s="8"/>
      <c r="P67" s="9">
        <f t="shared" si="8"/>
        <v>0</v>
      </c>
      <c r="Q67" s="9"/>
      <c r="R67" s="9"/>
      <c r="S67" s="9"/>
      <c r="T67" s="9"/>
      <c r="U67" s="9"/>
      <c r="V67" s="9"/>
      <c r="W67" s="9"/>
      <c r="X67" s="9"/>
      <c r="Y67" s="9"/>
      <c r="AA67" s="9"/>
      <c r="AB67" s="9"/>
      <c r="AC67" s="9"/>
      <c r="AD67" s="9"/>
      <c r="AE67" s="9"/>
      <c r="AF67" s="9"/>
      <c r="AG67" s="9"/>
      <c r="AH67" s="9"/>
      <c r="AL67" s="203"/>
      <c r="AM67" s="203"/>
      <c r="AN67" s="203"/>
    </row>
    <row r="68" spans="1:40" s="10" customFormat="1" ht="39" customHeight="1" x14ac:dyDescent="0.25">
      <c r="A68" s="55">
        <v>1</v>
      </c>
      <c r="B68" s="55" t="s">
        <v>156</v>
      </c>
      <c r="C68" s="89" t="s">
        <v>157</v>
      </c>
      <c r="D68" s="53" t="s">
        <v>93</v>
      </c>
      <c r="E68" s="71">
        <v>1003.88</v>
      </c>
      <c r="F68" s="91">
        <v>36.93</v>
      </c>
      <c r="G68" s="73">
        <f t="shared" ref="G68:G107" si="23">ROUND(E68*F68,2)</f>
        <v>37073.29</v>
      </c>
      <c r="H68" s="74">
        <f t="shared" ref="H68:H107" si="24">P68+J68</f>
        <v>237.79</v>
      </c>
      <c r="I68" s="73">
        <f t="shared" ref="I68:I107" si="25">ROUND(H68*F68,2)</f>
        <v>8781.58</v>
      </c>
      <c r="J68" s="181">
        <v>71.88</v>
      </c>
      <c r="K68" s="183">
        <f t="shared" ref="K68:K107" si="26">ROUND(J68*F68,2)</f>
        <v>2654.53</v>
      </c>
      <c r="L68" s="76">
        <f t="shared" ref="L68:L107" si="27">E68-H68</f>
        <v>766.09</v>
      </c>
      <c r="M68" s="73">
        <f t="shared" ref="M68:M107" si="28">ROUND(G68-I68,2)</f>
        <v>28291.71</v>
      </c>
      <c r="N68" s="86">
        <f t="shared" ref="N68:N77" si="29">IF(G68=0,"",I68/G68)</f>
        <v>0.23687080375116423</v>
      </c>
      <c r="O68" s="8"/>
      <c r="P68" s="9">
        <f t="shared" si="8"/>
        <v>165.91</v>
      </c>
      <c r="Q68" s="9"/>
      <c r="R68" s="9"/>
      <c r="S68" s="9"/>
      <c r="T68" s="9"/>
      <c r="U68" s="9"/>
      <c r="V68" s="9"/>
      <c r="W68" s="9"/>
      <c r="X68" s="9"/>
      <c r="Y68" s="9"/>
      <c r="AA68" s="9"/>
      <c r="AB68" s="9"/>
      <c r="AC68" s="9"/>
      <c r="AD68" s="9">
        <v>107.8</v>
      </c>
      <c r="AE68" s="9">
        <v>26.84</v>
      </c>
      <c r="AF68" s="9"/>
      <c r="AG68" s="9"/>
      <c r="AH68" s="9"/>
      <c r="AJ68" s="10">
        <v>31.27</v>
      </c>
      <c r="AL68" s="202"/>
      <c r="AM68" s="202"/>
      <c r="AN68" s="202"/>
    </row>
    <row r="69" spans="1:40" s="10" customFormat="1" ht="39.950000000000003" customHeight="1" x14ac:dyDescent="0.25">
      <c r="A69" s="55">
        <v>1</v>
      </c>
      <c r="B69" s="55" t="s">
        <v>158</v>
      </c>
      <c r="C69" s="89" t="s">
        <v>159</v>
      </c>
      <c r="D69" s="53" t="s">
        <v>93</v>
      </c>
      <c r="E69" s="71">
        <v>932</v>
      </c>
      <c r="F69" s="91">
        <v>6.16</v>
      </c>
      <c r="G69" s="73">
        <f t="shared" si="23"/>
        <v>5741.12</v>
      </c>
      <c r="H69" s="74">
        <f t="shared" si="24"/>
        <v>328.26</v>
      </c>
      <c r="I69" s="73">
        <f t="shared" si="25"/>
        <v>2022.08</v>
      </c>
      <c r="J69" s="181">
        <v>34.64</v>
      </c>
      <c r="K69" s="75">
        <f t="shared" si="26"/>
        <v>213.38</v>
      </c>
      <c r="L69" s="76">
        <f t="shared" si="27"/>
        <v>603.74</v>
      </c>
      <c r="M69" s="73">
        <f t="shared" si="28"/>
        <v>3719.04</v>
      </c>
      <c r="N69" s="86">
        <f t="shared" si="29"/>
        <v>0.35221002173791871</v>
      </c>
      <c r="O69" s="8"/>
      <c r="P69" s="9">
        <f t="shared" si="8"/>
        <v>293.62</v>
      </c>
      <c r="Q69" s="9"/>
      <c r="R69" s="9"/>
      <c r="S69" s="9"/>
      <c r="T69" s="9"/>
      <c r="U69" s="9"/>
      <c r="V69" s="9"/>
      <c r="W69" s="9"/>
      <c r="X69" s="9"/>
      <c r="Y69" s="9"/>
      <c r="AA69" s="9"/>
      <c r="AB69" s="9"/>
      <c r="AC69" s="9"/>
      <c r="AD69" s="9">
        <v>107.8</v>
      </c>
      <c r="AE69" s="9">
        <v>26.84</v>
      </c>
      <c r="AF69" s="9"/>
      <c r="AG69" s="9">
        <v>5.89</v>
      </c>
      <c r="AH69" s="9"/>
      <c r="AJ69" s="10">
        <v>31.27</v>
      </c>
      <c r="AK69" s="10">
        <v>121.82</v>
      </c>
      <c r="AL69" s="202"/>
      <c r="AM69" s="202"/>
      <c r="AN69" s="202"/>
    </row>
    <row r="70" spans="1:40" s="10" customFormat="1" ht="39.950000000000003" customHeight="1" x14ac:dyDescent="0.25">
      <c r="A70" s="98">
        <v>1</v>
      </c>
      <c r="B70" s="98" t="s">
        <v>160</v>
      </c>
      <c r="C70" s="69" t="s">
        <v>102</v>
      </c>
      <c r="D70" s="70" t="s">
        <v>93</v>
      </c>
      <c r="E70" s="78">
        <v>15299.26</v>
      </c>
      <c r="F70" s="72">
        <v>3.75</v>
      </c>
      <c r="G70" s="77">
        <f t="shared" si="23"/>
        <v>57372.23</v>
      </c>
      <c r="H70" s="74">
        <f t="shared" si="24"/>
        <v>11673.279999999999</v>
      </c>
      <c r="I70" s="77">
        <f t="shared" si="25"/>
        <v>43774.8</v>
      </c>
      <c r="J70" s="181"/>
      <c r="K70" s="75">
        <f t="shared" si="26"/>
        <v>0</v>
      </c>
      <c r="L70" s="100">
        <f t="shared" si="27"/>
        <v>3625.9800000000014</v>
      </c>
      <c r="M70" s="77">
        <f t="shared" si="28"/>
        <v>13597.43</v>
      </c>
      <c r="N70" s="59">
        <f t="shared" si="29"/>
        <v>0.76299631372181276</v>
      </c>
      <c r="O70" s="8"/>
      <c r="P70" s="9">
        <f t="shared" si="8"/>
        <v>11673.279999999999</v>
      </c>
      <c r="Q70" s="9"/>
      <c r="R70" s="9"/>
      <c r="S70" s="9">
        <v>521.5</v>
      </c>
      <c r="T70" s="9">
        <v>848</v>
      </c>
      <c r="U70" s="9"/>
      <c r="V70" s="9">
        <v>-1369.5</v>
      </c>
      <c r="W70" s="9">
        <v>1170.5</v>
      </c>
      <c r="X70" s="9">
        <v>338.37</v>
      </c>
      <c r="Y70" s="9">
        <v>1206.08</v>
      </c>
      <c r="Z70" s="10">
        <v>942.26</v>
      </c>
      <c r="AA70" s="9">
        <v>419.71</v>
      </c>
      <c r="AB70" s="9">
        <v>370.16</v>
      </c>
      <c r="AC70" s="9"/>
      <c r="AD70" s="9"/>
      <c r="AE70" s="9">
        <v>325.41000000000003</v>
      </c>
      <c r="AF70" s="9">
        <v>1472.29</v>
      </c>
      <c r="AG70" s="9">
        <v>2200.54</v>
      </c>
      <c r="AH70" s="9">
        <v>1331.84</v>
      </c>
      <c r="AI70" s="10">
        <v>1432.47</v>
      </c>
      <c r="AJ70" s="10">
        <v>313.87</v>
      </c>
      <c r="AK70" s="10">
        <v>121.82</v>
      </c>
      <c r="AL70" s="202">
        <v>27.96</v>
      </c>
      <c r="AM70" s="202"/>
      <c r="AN70" s="202"/>
    </row>
    <row r="71" spans="1:40" s="10" customFormat="1" ht="39.950000000000003" customHeight="1" x14ac:dyDescent="0.25">
      <c r="A71" s="98">
        <v>1</v>
      </c>
      <c r="B71" s="98" t="s">
        <v>161</v>
      </c>
      <c r="C71" s="69" t="s">
        <v>106</v>
      </c>
      <c r="D71" s="70" t="s">
        <v>107</v>
      </c>
      <c r="E71" s="78">
        <v>17362</v>
      </c>
      <c r="F71" s="72">
        <v>2.9</v>
      </c>
      <c r="G71" s="77">
        <f t="shared" si="23"/>
        <v>50349.8</v>
      </c>
      <c r="H71" s="74">
        <f t="shared" si="24"/>
        <v>11673.279999999999</v>
      </c>
      <c r="I71" s="77">
        <f t="shared" si="25"/>
        <v>33852.51</v>
      </c>
      <c r="J71" s="181"/>
      <c r="K71" s="75">
        <f t="shared" si="26"/>
        <v>0</v>
      </c>
      <c r="L71" s="100">
        <f t="shared" si="27"/>
        <v>5688.7200000000012</v>
      </c>
      <c r="M71" s="77">
        <f t="shared" si="28"/>
        <v>16497.29</v>
      </c>
      <c r="N71" s="59">
        <f t="shared" si="29"/>
        <v>0.67234646413689825</v>
      </c>
      <c r="O71" s="8"/>
      <c r="P71" s="9">
        <f t="shared" si="8"/>
        <v>11673.279999999999</v>
      </c>
      <c r="Q71" s="9"/>
      <c r="R71" s="9"/>
      <c r="S71" s="9">
        <v>516</v>
      </c>
      <c r="T71" s="9">
        <v>848</v>
      </c>
      <c r="U71" s="9"/>
      <c r="V71" s="9">
        <v>-1364</v>
      </c>
      <c r="W71" s="9">
        <v>1170.5</v>
      </c>
      <c r="X71" s="9">
        <v>338.37</v>
      </c>
      <c r="Y71" s="9">
        <v>1206.08</v>
      </c>
      <c r="Z71" s="10">
        <v>942.26</v>
      </c>
      <c r="AA71" s="9">
        <v>419.71</v>
      </c>
      <c r="AB71" s="9">
        <v>370.16</v>
      </c>
      <c r="AC71" s="9"/>
      <c r="AD71" s="9"/>
      <c r="AE71" s="9">
        <v>325.41000000000003</v>
      </c>
      <c r="AF71" s="9">
        <v>1472.29</v>
      </c>
      <c r="AG71" s="9">
        <v>2200.54</v>
      </c>
      <c r="AH71" s="9">
        <v>1331.84</v>
      </c>
      <c r="AI71" s="10">
        <v>1432.47</v>
      </c>
      <c r="AJ71" s="10">
        <v>313.87</v>
      </c>
      <c r="AK71" s="10">
        <v>121.82</v>
      </c>
      <c r="AL71" s="202">
        <v>27.96</v>
      </c>
      <c r="AM71" s="202"/>
      <c r="AN71" s="202"/>
    </row>
    <row r="72" spans="1:40" s="10" customFormat="1" ht="39.950000000000003" hidden="1" customHeight="1" x14ac:dyDescent="0.25">
      <c r="A72" s="226">
        <v>1</v>
      </c>
      <c r="B72" s="226" t="s">
        <v>162</v>
      </c>
      <c r="C72" s="238" t="s">
        <v>163</v>
      </c>
      <c r="D72" s="239" t="s">
        <v>107</v>
      </c>
      <c r="E72" s="229">
        <v>0</v>
      </c>
      <c r="F72" s="240">
        <v>0.98</v>
      </c>
      <c r="G72" s="231">
        <f t="shared" si="23"/>
        <v>0</v>
      </c>
      <c r="H72" s="232">
        <f t="shared" si="24"/>
        <v>0</v>
      </c>
      <c r="I72" s="231">
        <f t="shared" si="25"/>
        <v>0</v>
      </c>
      <c r="J72" s="247"/>
      <c r="K72" s="248">
        <f t="shared" si="26"/>
        <v>0</v>
      </c>
      <c r="L72" s="235">
        <f t="shared" si="27"/>
        <v>0</v>
      </c>
      <c r="M72" s="231">
        <f t="shared" si="28"/>
        <v>0</v>
      </c>
      <c r="N72" s="237" t="str">
        <f t="shared" si="29"/>
        <v/>
      </c>
      <c r="O72" s="8"/>
      <c r="P72" s="9">
        <f t="shared" si="8"/>
        <v>0</v>
      </c>
      <c r="Q72" s="9"/>
      <c r="R72" s="9"/>
      <c r="S72" s="9"/>
      <c r="T72" s="9"/>
      <c r="U72" s="9">
        <v>14468.33</v>
      </c>
      <c r="V72" s="9">
        <v>-14468.33</v>
      </c>
      <c r="W72" s="9"/>
      <c r="X72" s="9"/>
      <c r="Y72" s="9"/>
      <c r="AA72" s="9"/>
      <c r="AB72" s="9"/>
      <c r="AC72" s="9"/>
      <c r="AD72" s="9"/>
      <c r="AE72" s="9"/>
      <c r="AF72" s="9"/>
      <c r="AG72" s="9"/>
      <c r="AH72" s="9"/>
      <c r="AL72" s="210"/>
      <c r="AM72" s="210"/>
      <c r="AN72" s="210"/>
    </row>
    <row r="73" spans="1:40" s="10" customFormat="1" ht="39.950000000000003" hidden="1" customHeight="1" x14ac:dyDescent="0.25">
      <c r="A73" s="226">
        <v>1</v>
      </c>
      <c r="B73" s="226" t="s">
        <v>164</v>
      </c>
      <c r="C73" s="238" t="s">
        <v>165</v>
      </c>
      <c r="D73" s="239" t="s">
        <v>107</v>
      </c>
      <c r="E73" s="229">
        <v>0</v>
      </c>
      <c r="F73" s="240">
        <v>0.77</v>
      </c>
      <c r="G73" s="231">
        <f t="shared" si="23"/>
        <v>0</v>
      </c>
      <c r="H73" s="232">
        <f t="shared" si="24"/>
        <v>0</v>
      </c>
      <c r="I73" s="231">
        <f t="shared" si="25"/>
        <v>0</v>
      </c>
      <c r="J73" s="249"/>
      <c r="K73" s="234">
        <f t="shared" si="26"/>
        <v>0</v>
      </c>
      <c r="L73" s="235">
        <f t="shared" si="27"/>
        <v>0</v>
      </c>
      <c r="M73" s="231">
        <f t="shared" si="28"/>
        <v>0</v>
      </c>
      <c r="N73" s="237" t="str">
        <f t="shared" si="29"/>
        <v/>
      </c>
      <c r="O73" s="8"/>
      <c r="P73" s="9">
        <f t="shared" si="8"/>
        <v>0</v>
      </c>
      <c r="Q73" s="9"/>
      <c r="R73" s="9"/>
      <c r="S73" s="9"/>
      <c r="T73" s="9"/>
      <c r="U73" s="9"/>
      <c r="V73" s="9"/>
      <c r="W73" s="9"/>
      <c r="X73" s="9"/>
      <c r="Y73" s="9"/>
      <c r="AA73" s="9"/>
      <c r="AB73" s="9"/>
      <c r="AC73" s="9"/>
      <c r="AD73" s="9"/>
      <c r="AE73" s="9"/>
      <c r="AF73" s="9"/>
      <c r="AG73" s="9"/>
      <c r="AH73" s="9"/>
      <c r="AL73" s="206"/>
      <c r="AM73" s="206"/>
      <c r="AN73" s="206"/>
    </row>
    <row r="74" spans="1:40" s="10" customFormat="1" ht="39.75" customHeight="1" x14ac:dyDescent="0.7">
      <c r="A74" s="55">
        <v>1</v>
      </c>
      <c r="B74" s="55" t="s">
        <v>166</v>
      </c>
      <c r="C74" s="89" t="s">
        <v>167</v>
      </c>
      <c r="D74" s="53" t="s">
        <v>71</v>
      </c>
      <c r="E74" s="71">
        <v>50997.53</v>
      </c>
      <c r="F74" s="91">
        <v>9.18</v>
      </c>
      <c r="G74" s="73">
        <f t="shared" si="23"/>
        <v>468157.33</v>
      </c>
      <c r="H74" s="74">
        <f t="shared" si="24"/>
        <v>40407.410000000003</v>
      </c>
      <c r="I74" s="73">
        <f t="shared" si="25"/>
        <v>370940.02</v>
      </c>
      <c r="J74" s="181"/>
      <c r="K74" s="75">
        <f t="shared" si="26"/>
        <v>0</v>
      </c>
      <c r="L74" s="76">
        <f t="shared" si="27"/>
        <v>10590.119999999995</v>
      </c>
      <c r="M74" s="73">
        <f t="shared" si="28"/>
        <v>97217.31</v>
      </c>
      <c r="N74" s="86">
        <f t="shared" si="29"/>
        <v>0.7923405150999131</v>
      </c>
      <c r="O74" s="94"/>
      <c r="P74" s="9">
        <f t="shared" si="8"/>
        <v>40407.410000000003</v>
      </c>
      <c r="Q74" s="9"/>
      <c r="R74" s="9"/>
      <c r="S74" s="9"/>
      <c r="T74" s="9"/>
      <c r="U74" s="9">
        <v>4452</v>
      </c>
      <c r="V74" s="9">
        <v>-2723</v>
      </c>
      <c r="W74" s="9">
        <v>2929.91</v>
      </c>
      <c r="X74" s="9">
        <v>3972.23</v>
      </c>
      <c r="Y74" s="9">
        <v>9423.65</v>
      </c>
      <c r="Z74" s="10">
        <v>4080.32</v>
      </c>
      <c r="AA74" s="9">
        <v>4784.54</v>
      </c>
      <c r="AB74" s="9">
        <v>4626.8900000000003</v>
      </c>
      <c r="AC74" s="9"/>
      <c r="AD74" s="9">
        <v>1212.0899999999999</v>
      </c>
      <c r="AE74" s="9">
        <v>1571.71</v>
      </c>
      <c r="AF74" s="9"/>
      <c r="AG74" s="9">
        <v>207.01</v>
      </c>
      <c r="AH74" s="9">
        <v>1395.54</v>
      </c>
      <c r="AI74" s="10">
        <v>2366.86</v>
      </c>
      <c r="AJ74" s="10">
        <v>1275.53</v>
      </c>
      <c r="AK74" s="10">
        <v>676.78</v>
      </c>
      <c r="AL74" s="202">
        <v>155.35</v>
      </c>
      <c r="AM74" s="202"/>
      <c r="AN74" s="202"/>
    </row>
    <row r="75" spans="1:40" s="10" customFormat="1" ht="39.75" customHeight="1" x14ac:dyDescent="0.25">
      <c r="A75" s="98">
        <v>1</v>
      </c>
      <c r="B75" s="98" t="s">
        <v>168</v>
      </c>
      <c r="C75" s="69" t="s">
        <v>169</v>
      </c>
      <c r="D75" s="70" t="s">
        <v>93</v>
      </c>
      <c r="E75" s="78">
        <v>7139.65</v>
      </c>
      <c r="F75" s="72">
        <v>37.21</v>
      </c>
      <c r="G75" s="77">
        <f t="shared" si="23"/>
        <v>265666.38</v>
      </c>
      <c r="H75" s="78">
        <f t="shared" si="24"/>
        <v>6479.15</v>
      </c>
      <c r="I75" s="77">
        <f t="shared" si="25"/>
        <v>241089.17</v>
      </c>
      <c r="J75" s="179"/>
      <c r="K75" s="75">
        <f t="shared" si="26"/>
        <v>0</v>
      </c>
      <c r="L75" s="100">
        <f t="shared" si="27"/>
        <v>660.5</v>
      </c>
      <c r="M75" s="77">
        <f t="shared" si="28"/>
        <v>24577.21</v>
      </c>
      <c r="N75" s="59">
        <f t="shared" si="29"/>
        <v>0.90748844471776979</v>
      </c>
      <c r="O75" s="102"/>
      <c r="P75" s="9">
        <f t="shared" si="8"/>
        <v>6479.15</v>
      </c>
      <c r="Q75" s="9"/>
      <c r="R75" s="9"/>
      <c r="S75" s="9"/>
      <c r="T75" s="9"/>
      <c r="U75" s="9">
        <v>890.4</v>
      </c>
      <c r="V75" s="9">
        <v>-544.6</v>
      </c>
      <c r="W75" s="9"/>
      <c r="X75" s="9">
        <v>597.29999999999995</v>
      </c>
      <c r="Y75" s="9">
        <v>1352.76</v>
      </c>
      <c r="Z75" s="10">
        <v>320.14</v>
      </c>
      <c r="AA75" s="9">
        <v>736.01</v>
      </c>
      <c r="AB75" s="9">
        <v>925.38</v>
      </c>
      <c r="AC75" s="9"/>
      <c r="AD75" s="9">
        <v>242.42</v>
      </c>
      <c r="AE75" s="9">
        <v>314.33999999999997</v>
      </c>
      <c r="AF75" s="9">
        <v>273.41000000000099</v>
      </c>
      <c r="AG75" s="9">
        <v>694.88</v>
      </c>
      <c r="AH75" s="9">
        <v>260.39999999999998</v>
      </c>
      <c r="AI75" s="10">
        <v>324.7</v>
      </c>
      <c r="AJ75" s="10">
        <v>91.61</v>
      </c>
      <c r="AL75" s="205"/>
      <c r="AM75" s="205"/>
      <c r="AN75" s="205"/>
    </row>
    <row r="76" spans="1:40" s="10" customFormat="1" ht="39.950000000000003" customHeight="1" x14ac:dyDescent="0.25">
      <c r="A76" s="55">
        <v>1</v>
      </c>
      <c r="B76" s="55" t="s">
        <v>170</v>
      </c>
      <c r="C76" s="89" t="s">
        <v>171</v>
      </c>
      <c r="D76" s="53" t="s">
        <v>93</v>
      </c>
      <c r="E76" s="71">
        <v>5365.25</v>
      </c>
      <c r="F76" s="91">
        <v>90.12</v>
      </c>
      <c r="G76" s="73">
        <f t="shared" si="23"/>
        <v>483516.33</v>
      </c>
      <c r="H76" s="74">
        <f t="shared" si="24"/>
        <v>2869.61</v>
      </c>
      <c r="I76" s="73">
        <f t="shared" si="25"/>
        <v>258609.25</v>
      </c>
      <c r="J76" s="180">
        <v>1339.69</v>
      </c>
      <c r="K76" s="75">
        <f t="shared" si="26"/>
        <v>120732.86</v>
      </c>
      <c r="L76" s="76">
        <f t="shared" si="27"/>
        <v>2495.64</v>
      </c>
      <c r="M76" s="73">
        <f t="shared" si="28"/>
        <v>224907.08</v>
      </c>
      <c r="N76" s="86">
        <f t="shared" si="29"/>
        <v>0.53485111867886648</v>
      </c>
      <c r="O76" s="8"/>
      <c r="P76" s="9">
        <f t="shared" si="8"/>
        <v>1529.92</v>
      </c>
      <c r="Q76" s="9"/>
      <c r="R76" s="9"/>
      <c r="S76" s="9"/>
      <c r="T76" s="9"/>
      <c r="U76" s="9"/>
      <c r="V76" s="9"/>
      <c r="W76" s="9"/>
      <c r="X76" s="9"/>
      <c r="Y76" s="9"/>
      <c r="AA76" s="9"/>
      <c r="AB76" s="9"/>
      <c r="AC76" s="9"/>
      <c r="AD76" s="9"/>
      <c r="AE76" s="9"/>
      <c r="AF76" s="9"/>
      <c r="AG76" s="9">
        <v>15.45</v>
      </c>
      <c r="AH76" s="9"/>
      <c r="AL76" s="206"/>
      <c r="AM76" s="206">
        <v>1097.26</v>
      </c>
      <c r="AN76" s="206">
        <v>417.21</v>
      </c>
    </row>
    <row r="77" spans="1:40" s="10" customFormat="1" ht="39.950000000000003" customHeight="1" x14ac:dyDescent="0.25">
      <c r="A77" s="55">
        <v>1</v>
      </c>
      <c r="B77" s="55" t="s">
        <v>172</v>
      </c>
      <c r="C77" s="89" t="s">
        <v>173</v>
      </c>
      <c r="D77" s="53" t="s">
        <v>93</v>
      </c>
      <c r="E77" s="71">
        <v>10199.51</v>
      </c>
      <c r="F77" s="91">
        <v>99.82</v>
      </c>
      <c r="G77" s="73">
        <f t="shared" si="23"/>
        <v>1018115.09</v>
      </c>
      <c r="H77" s="74">
        <f t="shared" si="24"/>
        <v>8046.1400000000012</v>
      </c>
      <c r="I77" s="73">
        <f t="shared" si="25"/>
        <v>803165.69</v>
      </c>
      <c r="J77" s="181"/>
      <c r="K77" s="75">
        <f t="shared" si="26"/>
        <v>0</v>
      </c>
      <c r="L77" s="76">
        <f t="shared" si="27"/>
        <v>2153.369999999999</v>
      </c>
      <c r="M77" s="73">
        <f t="shared" si="28"/>
        <v>214949.4</v>
      </c>
      <c r="N77" s="86">
        <f t="shared" si="29"/>
        <v>0.78887514573622508</v>
      </c>
      <c r="O77" s="8"/>
      <c r="P77" s="9">
        <f t="shared" si="8"/>
        <v>8046.1400000000012</v>
      </c>
      <c r="Q77" s="9"/>
      <c r="R77" s="9"/>
      <c r="S77" s="9"/>
      <c r="T77" s="9"/>
      <c r="U77" s="9">
        <v>890.4</v>
      </c>
      <c r="V77" s="9">
        <v>-544.6</v>
      </c>
      <c r="W77" s="9">
        <v>585.98</v>
      </c>
      <c r="X77" s="9">
        <v>597.29999999999995</v>
      </c>
      <c r="Y77" s="9">
        <v>1352.76</v>
      </c>
      <c r="Z77" s="10">
        <v>816.06</v>
      </c>
      <c r="AA77" s="9">
        <v>956.91</v>
      </c>
      <c r="AB77" s="9">
        <v>925.38</v>
      </c>
      <c r="AC77" s="9"/>
      <c r="AD77" s="9">
        <v>242.42</v>
      </c>
      <c r="AE77" s="9">
        <v>314.33999999999997</v>
      </c>
      <c r="AF77" s="9">
        <v>394.06</v>
      </c>
      <c r="AG77" s="9">
        <v>22.97</v>
      </c>
      <c r="AH77" s="9">
        <v>523.14</v>
      </c>
      <c r="AI77" s="10">
        <v>411.52</v>
      </c>
      <c r="AJ77" s="10">
        <v>308.52</v>
      </c>
      <c r="AK77" s="10">
        <v>217.91</v>
      </c>
      <c r="AL77" s="202">
        <v>31.07</v>
      </c>
      <c r="AM77" s="202"/>
      <c r="AN77" s="202"/>
    </row>
    <row r="78" spans="1:40" s="10" customFormat="1" ht="39.950000000000003" hidden="1" customHeight="1" x14ac:dyDescent="0.25">
      <c r="A78" s="226">
        <v>1</v>
      </c>
      <c r="B78" s="226" t="s">
        <v>174</v>
      </c>
      <c r="C78" s="238" t="s">
        <v>175</v>
      </c>
      <c r="D78" s="239" t="s">
        <v>93</v>
      </c>
      <c r="E78" s="229">
        <v>0</v>
      </c>
      <c r="F78" s="240">
        <v>127.65</v>
      </c>
      <c r="G78" s="231">
        <f t="shared" si="23"/>
        <v>0</v>
      </c>
      <c r="H78" s="232">
        <f t="shared" si="24"/>
        <v>0</v>
      </c>
      <c r="I78" s="231">
        <f t="shared" si="25"/>
        <v>0</v>
      </c>
      <c r="J78" s="250"/>
      <c r="K78" s="251">
        <f t="shared" si="26"/>
        <v>0</v>
      </c>
      <c r="L78" s="235">
        <f t="shared" si="27"/>
        <v>0</v>
      </c>
      <c r="M78" s="231">
        <f t="shared" si="28"/>
        <v>0</v>
      </c>
      <c r="N78" s="237">
        <v>0</v>
      </c>
      <c r="O78" s="8"/>
      <c r="P78" s="9">
        <f t="shared" si="8"/>
        <v>0</v>
      </c>
      <c r="Q78" s="9"/>
      <c r="R78" s="9"/>
      <c r="S78" s="9"/>
      <c r="T78" s="9"/>
      <c r="U78" s="9"/>
      <c r="V78" s="9"/>
      <c r="W78" s="9"/>
      <c r="X78" s="9"/>
      <c r="Y78" s="9"/>
      <c r="AA78" s="9"/>
      <c r="AB78" s="9"/>
      <c r="AC78" s="9"/>
      <c r="AD78" s="9"/>
      <c r="AE78" s="9"/>
      <c r="AF78" s="9"/>
      <c r="AG78" s="9"/>
      <c r="AH78" s="9"/>
      <c r="AL78" s="211"/>
      <c r="AM78" s="211"/>
      <c r="AN78" s="211"/>
    </row>
    <row r="79" spans="1:40" s="10" customFormat="1" ht="39.950000000000003" customHeight="1" x14ac:dyDescent="0.2">
      <c r="A79" s="55">
        <v>1</v>
      </c>
      <c r="B79" s="55" t="s">
        <v>176</v>
      </c>
      <c r="C79" s="89" t="s">
        <v>177</v>
      </c>
      <c r="D79" s="53" t="s">
        <v>93</v>
      </c>
      <c r="E79" s="71">
        <v>523.98</v>
      </c>
      <c r="F79" s="91">
        <v>90</v>
      </c>
      <c r="G79" s="73">
        <f t="shared" si="23"/>
        <v>47158.2</v>
      </c>
      <c r="H79" s="74">
        <f t="shared" si="24"/>
        <v>209.27999999999997</v>
      </c>
      <c r="I79" s="73">
        <f t="shared" si="25"/>
        <v>18835.2</v>
      </c>
      <c r="J79" s="271">
        <v>-197.14</v>
      </c>
      <c r="K79" s="75">
        <f t="shared" si="26"/>
        <v>-17742.599999999999</v>
      </c>
      <c r="L79" s="76">
        <f t="shared" si="27"/>
        <v>314.70000000000005</v>
      </c>
      <c r="M79" s="73">
        <f t="shared" si="28"/>
        <v>28323</v>
      </c>
      <c r="N79" s="86">
        <f t="shared" ref="N79:N108" si="30">IF(G79=0,"",I79/G79)</f>
        <v>0.39940455742585601</v>
      </c>
      <c r="O79" s="12"/>
      <c r="P79" s="9">
        <f t="shared" si="8"/>
        <v>406.41999999999996</v>
      </c>
      <c r="Q79" s="9"/>
      <c r="R79" s="9"/>
      <c r="S79" s="9"/>
      <c r="T79" s="9"/>
      <c r="U79" s="9"/>
      <c r="V79" s="9"/>
      <c r="W79" s="9"/>
      <c r="X79" s="9"/>
      <c r="Y79" s="9"/>
      <c r="AA79" s="9"/>
      <c r="AB79" s="9"/>
      <c r="AC79" s="9"/>
      <c r="AD79" s="9"/>
      <c r="AE79" s="9"/>
      <c r="AF79" s="9"/>
      <c r="AG79" s="9"/>
      <c r="AH79" s="9"/>
      <c r="AL79" s="206"/>
      <c r="AM79" s="206">
        <v>165.07</v>
      </c>
      <c r="AN79" s="206">
        <v>241.35</v>
      </c>
    </row>
    <row r="80" spans="1:40" s="10" customFormat="1" ht="39.950000000000003" customHeight="1" x14ac:dyDescent="0.25">
      <c r="A80" s="55">
        <v>1</v>
      </c>
      <c r="B80" s="55" t="s">
        <v>178</v>
      </c>
      <c r="C80" s="89" t="s">
        <v>179</v>
      </c>
      <c r="D80" s="53" t="s">
        <v>93</v>
      </c>
      <c r="E80" s="71">
        <v>7676.97</v>
      </c>
      <c r="F80" s="91">
        <v>100</v>
      </c>
      <c r="G80" s="73">
        <f t="shared" si="23"/>
        <v>767697</v>
      </c>
      <c r="H80" s="74">
        <f t="shared" si="24"/>
        <v>5723.5824999999986</v>
      </c>
      <c r="I80" s="73">
        <f t="shared" si="25"/>
        <v>572358.25</v>
      </c>
      <c r="J80" s="181"/>
      <c r="K80" s="75">
        <f t="shared" si="26"/>
        <v>0</v>
      </c>
      <c r="L80" s="76">
        <f t="shared" si="27"/>
        <v>1953.3875000000016</v>
      </c>
      <c r="M80" s="73">
        <f t="shared" si="28"/>
        <v>195338.75</v>
      </c>
      <c r="N80" s="86">
        <f t="shared" si="30"/>
        <v>0.74555228169447063</v>
      </c>
      <c r="O80" s="8"/>
      <c r="P80" s="9">
        <f t="shared" ref="P80:P143" si="31">SUM(Q80:AX80)</f>
        <v>5723.5824999999986</v>
      </c>
      <c r="Q80" s="9"/>
      <c r="R80" s="9"/>
      <c r="S80" s="9">
        <f>453.7+0.004</f>
        <v>453.70400000000001</v>
      </c>
      <c r="T80" s="9">
        <f>653.5+0.0045</f>
        <v>653.50450000000001</v>
      </c>
      <c r="U80" s="9"/>
      <c r="V80" s="9"/>
      <c r="W80" s="9"/>
      <c r="X80" s="9"/>
      <c r="Y80" s="9"/>
      <c r="Z80" s="10">
        <f>1239.82-0.2</f>
        <v>1239.6199999999999</v>
      </c>
      <c r="AA80" s="9">
        <f>909.74+0.004</f>
        <v>909.74400000000003</v>
      </c>
      <c r="AB80" s="9">
        <v>115.31</v>
      </c>
      <c r="AC80" s="9"/>
      <c r="AD80" s="9"/>
      <c r="AE80" s="9"/>
      <c r="AF80" s="9">
        <v>433.02</v>
      </c>
      <c r="AG80" s="9">
        <v>706.98</v>
      </c>
      <c r="AH80" s="9">
        <v>554.70000000000005</v>
      </c>
      <c r="AJ80" s="10">
        <v>407.36</v>
      </c>
      <c r="AK80" s="10">
        <v>203.03</v>
      </c>
      <c r="AL80" s="202">
        <v>46.61</v>
      </c>
      <c r="AM80" s="202"/>
      <c r="AN80" s="202"/>
    </row>
    <row r="81" spans="1:40" s="10" customFormat="1" ht="39.950000000000003" customHeight="1" x14ac:dyDescent="0.25">
      <c r="A81" s="55">
        <v>1</v>
      </c>
      <c r="B81" s="55" t="s">
        <v>180</v>
      </c>
      <c r="C81" s="89" t="s">
        <v>181</v>
      </c>
      <c r="D81" s="53" t="s">
        <v>71</v>
      </c>
      <c r="E81" s="71">
        <v>45000</v>
      </c>
      <c r="F81" s="91">
        <v>4</v>
      </c>
      <c r="G81" s="73">
        <f t="shared" si="23"/>
        <v>180000</v>
      </c>
      <c r="H81" s="74">
        <f t="shared" si="24"/>
        <v>36206.130000000005</v>
      </c>
      <c r="I81" s="73">
        <f t="shared" si="25"/>
        <v>144824.51999999999</v>
      </c>
      <c r="J81" s="181"/>
      <c r="K81" s="75">
        <f t="shared" si="26"/>
        <v>0</v>
      </c>
      <c r="L81" s="76">
        <f t="shared" si="27"/>
        <v>8793.8699999999953</v>
      </c>
      <c r="M81" s="73">
        <f t="shared" si="28"/>
        <v>35175.480000000003</v>
      </c>
      <c r="N81" s="86">
        <f t="shared" si="30"/>
        <v>0.80458066666666661</v>
      </c>
      <c r="O81" s="8"/>
      <c r="P81" s="9">
        <f t="shared" si="31"/>
        <v>36206.130000000005</v>
      </c>
      <c r="Q81" s="9"/>
      <c r="R81" s="9"/>
      <c r="S81" s="9"/>
      <c r="T81" s="9"/>
      <c r="U81" s="9"/>
      <c r="V81" s="9">
        <v>1458.62</v>
      </c>
      <c r="W81" s="9">
        <v>2639.29</v>
      </c>
      <c r="X81" s="9">
        <v>2728.44</v>
      </c>
      <c r="Y81" s="9">
        <v>6188.83</v>
      </c>
      <c r="Z81" s="10">
        <v>3708.91</v>
      </c>
      <c r="AA81" s="9">
        <v>3320.05</v>
      </c>
      <c r="AB81" s="9">
        <v>1411.71</v>
      </c>
      <c r="AC81" s="9">
        <v>3835.63</v>
      </c>
      <c r="AD81" s="9">
        <v>1212.0899999999999</v>
      </c>
      <c r="AE81" s="9">
        <v>1393.42</v>
      </c>
      <c r="AF81" s="9">
        <v>601.18999999999903</v>
      </c>
      <c r="AG81" s="9"/>
      <c r="AH81" s="9">
        <v>2358.4299999999998</v>
      </c>
      <c r="AI81" s="10">
        <v>2133.0700000000002</v>
      </c>
      <c r="AJ81" s="10">
        <v>1427.71</v>
      </c>
      <c r="AK81" s="10">
        <v>1574.48</v>
      </c>
      <c r="AL81" s="202">
        <v>214.26</v>
      </c>
      <c r="AM81" s="202"/>
      <c r="AN81" s="202"/>
    </row>
    <row r="82" spans="1:40" s="10" customFormat="1" ht="39.950000000000003" customHeight="1" x14ac:dyDescent="0.25">
      <c r="A82" s="55">
        <v>1</v>
      </c>
      <c r="B82" s="55" t="s">
        <v>182</v>
      </c>
      <c r="C82" s="89" t="s">
        <v>183</v>
      </c>
      <c r="D82" s="53" t="s">
        <v>71</v>
      </c>
      <c r="E82" s="71">
        <v>90000</v>
      </c>
      <c r="F82" s="91">
        <v>2.5</v>
      </c>
      <c r="G82" s="73">
        <f t="shared" si="23"/>
        <v>225000</v>
      </c>
      <c r="H82" s="74">
        <f t="shared" si="24"/>
        <v>71966.149999999994</v>
      </c>
      <c r="I82" s="73">
        <f t="shared" si="25"/>
        <v>179915.38</v>
      </c>
      <c r="J82" s="181"/>
      <c r="K82" s="75">
        <f t="shared" si="26"/>
        <v>0</v>
      </c>
      <c r="L82" s="76">
        <f t="shared" si="27"/>
        <v>18033.850000000006</v>
      </c>
      <c r="M82" s="73">
        <f t="shared" si="28"/>
        <v>45084.62</v>
      </c>
      <c r="N82" s="86">
        <f t="shared" si="30"/>
        <v>0.79962391111111109</v>
      </c>
      <c r="O82" s="8"/>
      <c r="P82" s="9">
        <f t="shared" si="31"/>
        <v>71966.149999999994</v>
      </c>
      <c r="Q82" s="9"/>
      <c r="R82" s="9"/>
      <c r="S82" s="9"/>
      <c r="T82" s="9"/>
      <c r="U82" s="9"/>
      <c r="V82" s="9">
        <v>1458.62</v>
      </c>
      <c r="W82" s="9">
        <v>2639.29</v>
      </c>
      <c r="X82" s="9">
        <v>2728.44</v>
      </c>
      <c r="Y82" s="9">
        <v>6188.83</v>
      </c>
      <c r="Z82" s="10">
        <v>3708.91</v>
      </c>
      <c r="AA82" s="9">
        <v>3320.05</v>
      </c>
      <c r="AB82" s="9">
        <v>1411.71</v>
      </c>
      <c r="AC82" s="9">
        <v>5963.21</v>
      </c>
      <c r="AD82" s="9">
        <v>1212.0899999999999</v>
      </c>
      <c r="AE82" s="9">
        <v>1393.42</v>
      </c>
      <c r="AF82" s="9">
        <v>601.11</v>
      </c>
      <c r="AG82" s="9"/>
      <c r="AH82" s="9">
        <v>2358.4299999999998</v>
      </c>
      <c r="AI82" s="10">
        <v>19767.86</v>
      </c>
      <c r="AJ82" s="10">
        <v>795.56</v>
      </c>
      <c r="AK82" s="10">
        <v>13136.59</v>
      </c>
      <c r="AL82" s="202">
        <v>5282.03</v>
      </c>
      <c r="AM82" s="202"/>
      <c r="AN82" s="202"/>
    </row>
    <row r="83" spans="1:40" s="10" customFormat="1" ht="39.950000000000003" customHeight="1" x14ac:dyDescent="0.25">
      <c r="A83" s="55">
        <v>1</v>
      </c>
      <c r="B83" s="55" t="s">
        <v>184</v>
      </c>
      <c r="C83" s="89" t="s">
        <v>185</v>
      </c>
      <c r="D83" s="53" t="s">
        <v>93</v>
      </c>
      <c r="E83" s="71">
        <v>1650</v>
      </c>
      <c r="F83" s="91">
        <v>580.85</v>
      </c>
      <c r="G83" s="73">
        <f t="shared" si="23"/>
        <v>958402.5</v>
      </c>
      <c r="H83" s="74">
        <f t="shared" si="24"/>
        <v>1425.6899999999998</v>
      </c>
      <c r="I83" s="73">
        <f t="shared" si="25"/>
        <v>828112.04</v>
      </c>
      <c r="J83" s="181"/>
      <c r="K83" s="75">
        <f t="shared" si="26"/>
        <v>0</v>
      </c>
      <c r="L83" s="76">
        <f t="shared" si="27"/>
        <v>224.31000000000017</v>
      </c>
      <c r="M83" s="73">
        <f t="shared" si="28"/>
        <v>130290.46</v>
      </c>
      <c r="N83" s="86">
        <f t="shared" si="30"/>
        <v>0.86405454910645585</v>
      </c>
      <c r="O83" s="8"/>
      <c r="P83" s="9">
        <f t="shared" si="31"/>
        <v>1425.6899999999998</v>
      </c>
      <c r="Q83" s="9"/>
      <c r="R83" s="9"/>
      <c r="S83" s="9"/>
      <c r="T83" s="9"/>
      <c r="U83" s="9"/>
      <c r="V83" s="9">
        <v>58.34</v>
      </c>
      <c r="W83" s="9">
        <v>105.58</v>
      </c>
      <c r="X83" s="9">
        <v>109.14</v>
      </c>
      <c r="Y83" s="9">
        <v>247.55</v>
      </c>
      <c r="Z83" s="10">
        <v>148.36000000000001</v>
      </c>
      <c r="AA83" s="9">
        <v>132.80000000000001</v>
      </c>
      <c r="AB83" s="9">
        <v>56.47</v>
      </c>
      <c r="AC83" s="9">
        <v>153.43</v>
      </c>
      <c r="AD83" s="9">
        <v>48.48</v>
      </c>
      <c r="AE83" s="9">
        <v>55.74</v>
      </c>
      <c r="AF83" s="9">
        <v>24.04</v>
      </c>
      <c r="AG83" s="9"/>
      <c r="AH83" s="9">
        <v>94.34</v>
      </c>
      <c r="AI83" s="10">
        <v>62.77</v>
      </c>
      <c r="AK83" s="10">
        <v>120.08</v>
      </c>
      <c r="AL83" s="202">
        <v>8.57</v>
      </c>
      <c r="AM83" s="202"/>
      <c r="AN83" s="202"/>
    </row>
    <row r="84" spans="1:40" s="10" customFormat="1" ht="39.950000000000003" customHeight="1" x14ac:dyDescent="0.25">
      <c r="A84" s="55">
        <v>1</v>
      </c>
      <c r="B84" s="55" t="s">
        <v>186</v>
      </c>
      <c r="C84" s="89" t="s">
        <v>187</v>
      </c>
      <c r="D84" s="53" t="s">
        <v>96</v>
      </c>
      <c r="E84" s="71">
        <v>33000</v>
      </c>
      <c r="F84" s="91">
        <v>1.47</v>
      </c>
      <c r="G84" s="73">
        <f t="shared" si="23"/>
        <v>48510</v>
      </c>
      <c r="H84" s="74">
        <f t="shared" si="24"/>
        <v>18819.070000000003</v>
      </c>
      <c r="I84" s="73">
        <f t="shared" si="25"/>
        <v>27664.03</v>
      </c>
      <c r="J84" s="181"/>
      <c r="K84" s="75">
        <f t="shared" si="26"/>
        <v>0</v>
      </c>
      <c r="L84" s="76">
        <f t="shared" si="27"/>
        <v>14180.929999999997</v>
      </c>
      <c r="M84" s="73">
        <f t="shared" si="28"/>
        <v>20845.97</v>
      </c>
      <c r="N84" s="86">
        <f t="shared" si="30"/>
        <v>0.57027478870336012</v>
      </c>
      <c r="O84" s="8"/>
      <c r="P84" s="9">
        <f t="shared" si="31"/>
        <v>18819.070000000003</v>
      </c>
      <c r="Q84" s="9"/>
      <c r="R84" s="9"/>
      <c r="S84" s="9"/>
      <c r="T84" s="9"/>
      <c r="U84" s="9"/>
      <c r="V84" s="9">
        <v>770.15</v>
      </c>
      <c r="W84" s="9">
        <v>1393.59</v>
      </c>
      <c r="X84" s="9">
        <v>1440.65</v>
      </c>
      <c r="Y84" s="9">
        <v>3267.55</v>
      </c>
      <c r="Z84" s="10">
        <v>1958.35</v>
      </c>
      <c r="AA84" s="9">
        <v>1752.99</v>
      </c>
      <c r="AB84" s="9">
        <v>745.4</v>
      </c>
      <c r="AC84" s="9">
        <v>2025.28</v>
      </c>
      <c r="AD84" s="9">
        <v>639.98</v>
      </c>
      <c r="AE84" s="9">
        <v>735.73</v>
      </c>
      <c r="AF84" s="9">
        <v>317.41000000000003</v>
      </c>
      <c r="AG84" s="9"/>
      <c r="AH84" s="9">
        <v>1245.25</v>
      </c>
      <c r="AI84" s="10">
        <v>828.55</v>
      </c>
      <c r="AK84" s="10">
        <v>1585.06</v>
      </c>
      <c r="AL84" s="202">
        <v>113.13</v>
      </c>
      <c r="AM84" s="202"/>
      <c r="AN84" s="202"/>
    </row>
    <row r="85" spans="1:40" s="10" customFormat="1" ht="39.950000000000003" customHeight="1" x14ac:dyDescent="0.25">
      <c r="A85" s="55">
        <v>1</v>
      </c>
      <c r="B85" s="55" t="s">
        <v>188</v>
      </c>
      <c r="C85" s="89" t="s">
        <v>189</v>
      </c>
      <c r="D85" s="53" t="s">
        <v>93</v>
      </c>
      <c r="E85" s="71">
        <v>1750</v>
      </c>
      <c r="F85" s="91">
        <v>630</v>
      </c>
      <c r="G85" s="73">
        <f t="shared" si="23"/>
        <v>1102500</v>
      </c>
      <c r="H85" s="74">
        <f t="shared" si="24"/>
        <v>1534.5500000000002</v>
      </c>
      <c r="I85" s="73">
        <f t="shared" si="25"/>
        <v>966766.5</v>
      </c>
      <c r="J85" s="181"/>
      <c r="K85" s="75">
        <f t="shared" si="26"/>
        <v>0</v>
      </c>
      <c r="L85" s="76">
        <f t="shared" si="27"/>
        <v>215.44999999999982</v>
      </c>
      <c r="M85" s="73">
        <f t="shared" si="28"/>
        <v>135733.5</v>
      </c>
      <c r="N85" s="86">
        <f t="shared" si="30"/>
        <v>0.87688571428571427</v>
      </c>
      <c r="O85" s="8"/>
      <c r="P85" s="9">
        <f t="shared" si="31"/>
        <v>1534.5500000000002</v>
      </c>
      <c r="Q85" s="9"/>
      <c r="R85" s="9"/>
      <c r="S85" s="9"/>
      <c r="T85" s="9"/>
      <c r="U85" s="9"/>
      <c r="V85" s="9"/>
      <c r="W85" s="9"/>
      <c r="X85" s="9"/>
      <c r="Y85" s="9"/>
      <c r="AA85" s="9"/>
      <c r="AB85" s="9"/>
      <c r="AC85" s="9">
        <v>85.1</v>
      </c>
      <c r="AD85" s="9"/>
      <c r="AE85" s="9"/>
      <c r="AF85" s="9"/>
      <c r="AG85" s="9"/>
      <c r="AH85" s="9"/>
      <c r="AI85" s="10">
        <v>727.95</v>
      </c>
      <c r="AJ85" s="10">
        <v>31.82</v>
      </c>
      <c r="AK85" s="10">
        <v>552.35</v>
      </c>
      <c r="AL85" s="202">
        <v>137.33000000000001</v>
      </c>
      <c r="AM85" s="202"/>
      <c r="AN85" s="202"/>
    </row>
    <row r="86" spans="1:40" s="10" customFormat="1" ht="49.5" customHeight="1" x14ac:dyDescent="0.25">
      <c r="A86" s="53">
        <v>1</v>
      </c>
      <c r="B86" s="53" t="s">
        <v>190</v>
      </c>
      <c r="C86" s="69" t="s">
        <v>191</v>
      </c>
      <c r="D86" s="70" t="s">
        <v>96</v>
      </c>
      <c r="E86" s="71">
        <v>35000</v>
      </c>
      <c r="F86" s="72">
        <v>1.47</v>
      </c>
      <c r="G86" s="73">
        <f t="shared" si="23"/>
        <v>51450</v>
      </c>
      <c r="H86" s="74">
        <f t="shared" si="24"/>
        <v>20256.150000000001</v>
      </c>
      <c r="I86" s="73">
        <f t="shared" si="25"/>
        <v>29776.54</v>
      </c>
      <c r="J86" s="181"/>
      <c r="K86" s="75">
        <f t="shared" si="26"/>
        <v>0</v>
      </c>
      <c r="L86" s="76">
        <f t="shared" si="27"/>
        <v>14743.849999999999</v>
      </c>
      <c r="M86" s="73">
        <f t="shared" si="28"/>
        <v>21673.46</v>
      </c>
      <c r="N86" s="86">
        <f t="shared" si="30"/>
        <v>0.57874713313896986</v>
      </c>
      <c r="O86" s="8"/>
      <c r="P86" s="9">
        <f t="shared" si="31"/>
        <v>20256.150000000001</v>
      </c>
      <c r="Q86" s="9"/>
      <c r="R86" s="9"/>
      <c r="S86" s="9"/>
      <c r="T86" s="9"/>
      <c r="U86" s="9"/>
      <c r="V86" s="9"/>
      <c r="W86" s="9"/>
      <c r="X86" s="9"/>
      <c r="Y86" s="9"/>
      <c r="AA86" s="9"/>
      <c r="AB86" s="9"/>
      <c r="AC86" s="9">
        <v>1123.3599999999999</v>
      </c>
      <c r="AD86" s="9"/>
      <c r="AE86" s="9"/>
      <c r="AF86" s="9"/>
      <c r="AG86" s="9"/>
      <c r="AH86" s="9"/>
      <c r="AI86" s="10">
        <v>9608.94</v>
      </c>
      <c r="AJ86" s="10">
        <v>420.06</v>
      </c>
      <c r="AK86" s="10">
        <v>7291.02</v>
      </c>
      <c r="AL86" s="202">
        <v>1812.77</v>
      </c>
      <c r="AM86" s="202"/>
      <c r="AN86" s="202"/>
    </row>
    <row r="87" spans="1:40" s="10" customFormat="1" ht="54" x14ac:dyDescent="0.25">
      <c r="A87" s="53">
        <v>1</v>
      </c>
      <c r="B87" s="53" t="s">
        <v>192</v>
      </c>
      <c r="C87" s="69" t="s">
        <v>193</v>
      </c>
      <c r="D87" s="70" t="s">
        <v>71</v>
      </c>
      <c r="E87" s="71">
        <v>8500</v>
      </c>
      <c r="F87" s="72">
        <v>7.24</v>
      </c>
      <c r="G87" s="73">
        <f t="shared" si="23"/>
        <v>61540</v>
      </c>
      <c r="H87" s="74">
        <f t="shared" si="24"/>
        <v>2542.7399999999998</v>
      </c>
      <c r="I87" s="73">
        <f t="shared" si="25"/>
        <v>18409.439999999999</v>
      </c>
      <c r="J87" s="181"/>
      <c r="K87" s="75">
        <f t="shared" si="26"/>
        <v>0</v>
      </c>
      <c r="L87" s="76">
        <f t="shared" si="27"/>
        <v>5957.26</v>
      </c>
      <c r="M87" s="73">
        <f t="shared" si="28"/>
        <v>43130.559999999998</v>
      </c>
      <c r="N87" s="86">
        <f t="shared" si="30"/>
        <v>0.29914592135196616</v>
      </c>
      <c r="O87" s="8"/>
      <c r="P87" s="9">
        <f t="shared" si="31"/>
        <v>2542.7399999999998</v>
      </c>
      <c r="Q87" s="9"/>
      <c r="R87" s="9"/>
      <c r="S87" s="9"/>
      <c r="T87" s="9"/>
      <c r="U87" s="9"/>
      <c r="V87" s="9"/>
      <c r="W87" s="9"/>
      <c r="X87" s="9"/>
      <c r="Y87" s="9"/>
      <c r="AA87" s="9"/>
      <c r="AB87" s="9"/>
      <c r="AC87" s="9"/>
      <c r="AD87" s="9"/>
      <c r="AE87" s="9"/>
      <c r="AF87" s="9"/>
      <c r="AG87" s="9"/>
      <c r="AH87" s="9"/>
      <c r="AI87" s="10">
        <v>2175.9899999999998</v>
      </c>
      <c r="AK87" s="10">
        <v>366.75</v>
      </c>
      <c r="AL87" s="202"/>
      <c r="AM87" s="202"/>
      <c r="AN87" s="202"/>
    </row>
    <row r="88" spans="1:40" s="10" customFormat="1" ht="39.950000000000003" customHeight="1" x14ac:dyDescent="0.25">
      <c r="A88" s="53">
        <v>1</v>
      </c>
      <c r="B88" s="53" t="s">
        <v>194</v>
      </c>
      <c r="C88" s="89" t="s">
        <v>195</v>
      </c>
      <c r="D88" s="53" t="s">
        <v>45</v>
      </c>
      <c r="E88" s="71">
        <v>1096.57</v>
      </c>
      <c r="F88" s="72">
        <v>5.26</v>
      </c>
      <c r="G88" s="73">
        <f t="shared" si="23"/>
        <v>5767.96</v>
      </c>
      <c r="H88" s="74">
        <f t="shared" si="24"/>
        <v>968.63000000000011</v>
      </c>
      <c r="I88" s="73">
        <f t="shared" si="25"/>
        <v>5094.99</v>
      </c>
      <c r="J88" s="179"/>
      <c r="K88" s="75"/>
      <c r="L88" s="76">
        <f t="shared" si="27"/>
        <v>127.93999999999983</v>
      </c>
      <c r="M88" s="73">
        <f t="shared" si="28"/>
        <v>672.97</v>
      </c>
      <c r="N88" s="86">
        <f t="shared" si="30"/>
        <v>0.88332616731045288</v>
      </c>
      <c r="O88" s="8"/>
      <c r="P88" s="9">
        <f t="shared" si="31"/>
        <v>968.63000000000011</v>
      </c>
      <c r="Q88" s="9"/>
      <c r="R88" s="9"/>
      <c r="S88" s="9"/>
      <c r="T88" s="9"/>
      <c r="U88" s="9"/>
      <c r="V88" s="9"/>
      <c r="W88" s="9"/>
      <c r="X88" s="9"/>
      <c r="Y88" s="9"/>
      <c r="AA88" s="9"/>
      <c r="AB88" s="9"/>
      <c r="AC88" s="9"/>
      <c r="AD88" s="9"/>
      <c r="AE88" s="9"/>
      <c r="AF88" s="9"/>
      <c r="AG88" s="9"/>
      <c r="AH88" s="9">
        <v>234.5</v>
      </c>
      <c r="AI88" s="10">
        <v>302.85000000000002</v>
      </c>
      <c r="AJ88" s="10">
        <v>307.72000000000003</v>
      </c>
      <c r="AK88" s="10">
        <v>123.56</v>
      </c>
      <c r="AL88" s="205"/>
      <c r="AM88" s="205"/>
      <c r="AN88" s="205"/>
    </row>
    <row r="89" spans="1:40" s="10" customFormat="1" ht="39.950000000000003" customHeight="1" x14ac:dyDescent="0.25">
      <c r="A89" s="53">
        <v>1</v>
      </c>
      <c r="B89" s="53" t="s">
        <v>196</v>
      </c>
      <c r="C89" s="89" t="s">
        <v>197</v>
      </c>
      <c r="D89" s="53" t="s">
        <v>198</v>
      </c>
      <c r="E89" s="71">
        <v>21931.4</v>
      </c>
      <c r="F89" s="72">
        <v>0.15</v>
      </c>
      <c r="G89" s="73">
        <f t="shared" si="23"/>
        <v>3289.71</v>
      </c>
      <c r="H89" s="74">
        <f t="shared" si="24"/>
        <v>10692.119999999999</v>
      </c>
      <c r="I89" s="73">
        <f t="shared" si="25"/>
        <v>1603.82</v>
      </c>
      <c r="J89" s="179"/>
      <c r="K89" s="75"/>
      <c r="L89" s="76">
        <f t="shared" si="27"/>
        <v>11239.280000000002</v>
      </c>
      <c r="M89" s="73">
        <f t="shared" si="28"/>
        <v>1685.89</v>
      </c>
      <c r="N89" s="86">
        <f t="shared" si="30"/>
        <v>0.48752625611376077</v>
      </c>
      <c r="O89" s="8"/>
      <c r="P89" s="9">
        <f t="shared" si="31"/>
        <v>10692.119999999999</v>
      </c>
      <c r="Q89" s="9"/>
      <c r="R89" s="9"/>
      <c r="S89" s="9"/>
      <c r="T89" s="9"/>
      <c r="U89" s="9"/>
      <c r="V89" s="9"/>
      <c r="W89" s="9"/>
      <c r="X89" s="9"/>
      <c r="Y89" s="9"/>
      <c r="AA89" s="9"/>
      <c r="AB89" s="9"/>
      <c r="AC89" s="9"/>
      <c r="AD89" s="9"/>
      <c r="AE89" s="9"/>
      <c r="AF89" s="9"/>
      <c r="AG89" s="9"/>
      <c r="AH89" s="9">
        <v>157.22999999999999</v>
      </c>
      <c r="AI89" s="10">
        <v>4108.82</v>
      </c>
      <c r="AJ89" s="10">
        <v>4585.03</v>
      </c>
      <c r="AK89" s="10">
        <v>1841.04</v>
      </c>
      <c r="AL89" s="205"/>
      <c r="AM89" s="205"/>
      <c r="AN89" s="205"/>
    </row>
    <row r="90" spans="1:40" s="10" customFormat="1" ht="39.950000000000003" customHeight="1" x14ac:dyDescent="0.25">
      <c r="A90" s="53">
        <v>1</v>
      </c>
      <c r="B90" s="53" t="s">
        <v>199</v>
      </c>
      <c r="C90" s="89" t="s">
        <v>200</v>
      </c>
      <c r="D90" s="53" t="s">
        <v>71</v>
      </c>
      <c r="E90" s="71">
        <v>896.33</v>
      </c>
      <c r="F90" s="72">
        <v>10.64</v>
      </c>
      <c r="G90" s="73">
        <f t="shared" si="23"/>
        <v>9536.9500000000007</v>
      </c>
      <c r="H90" s="74">
        <f t="shared" si="24"/>
        <v>896.32999999999993</v>
      </c>
      <c r="I90" s="73">
        <f t="shared" si="25"/>
        <v>9536.9500000000007</v>
      </c>
      <c r="J90" s="179"/>
      <c r="K90" s="75">
        <f t="shared" si="26"/>
        <v>0</v>
      </c>
      <c r="L90" s="76">
        <f t="shared" si="27"/>
        <v>0</v>
      </c>
      <c r="M90" s="73">
        <f t="shared" si="28"/>
        <v>0</v>
      </c>
      <c r="N90" s="86">
        <f t="shared" si="30"/>
        <v>1</v>
      </c>
      <c r="O90" s="8"/>
      <c r="P90" s="9">
        <f t="shared" si="31"/>
        <v>896.32999999999993</v>
      </c>
      <c r="Q90" s="9"/>
      <c r="R90" s="9"/>
      <c r="S90" s="9"/>
      <c r="T90" s="9"/>
      <c r="U90" s="9"/>
      <c r="V90" s="9"/>
      <c r="W90" s="9"/>
      <c r="X90" s="9"/>
      <c r="Y90" s="9"/>
      <c r="AA90" s="9"/>
      <c r="AB90" s="9"/>
      <c r="AC90" s="9"/>
      <c r="AD90" s="9"/>
      <c r="AE90" s="9"/>
      <c r="AF90" s="9"/>
      <c r="AG90" s="9">
        <v>825.53</v>
      </c>
      <c r="AH90" s="9">
        <v>70.8</v>
      </c>
      <c r="AL90" s="205"/>
      <c r="AM90" s="205"/>
      <c r="AN90" s="205"/>
    </row>
    <row r="91" spans="1:40" s="10" customFormat="1" ht="39.950000000000003" customHeight="1" x14ac:dyDescent="0.25">
      <c r="A91" s="53">
        <v>1</v>
      </c>
      <c r="B91" s="53" t="s">
        <v>201</v>
      </c>
      <c r="C91" s="69" t="s">
        <v>202</v>
      </c>
      <c r="D91" s="53" t="s">
        <v>203</v>
      </c>
      <c r="E91" s="71">
        <v>17926.599999999999</v>
      </c>
      <c r="F91" s="72">
        <v>0.27</v>
      </c>
      <c r="G91" s="73">
        <f t="shared" si="23"/>
        <v>4840.18</v>
      </c>
      <c r="H91" s="74">
        <f t="shared" si="24"/>
        <v>12777.45</v>
      </c>
      <c r="I91" s="73">
        <f t="shared" si="25"/>
        <v>3449.91</v>
      </c>
      <c r="J91" s="179"/>
      <c r="K91" s="75">
        <f t="shared" si="26"/>
        <v>0</v>
      </c>
      <c r="L91" s="76">
        <f t="shared" si="27"/>
        <v>5149.1499999999978</v>
      </c>
      <c r="M91" s="73">
        <f t="shared" si="28"/>
        <v>1390.27</v>
      </c>
      <c r="N91" s="86">
        <f t="shared" si="30"/>
        <v>0.71276481453169094</v>
      </c>
      <c r="O91" s="8"/>
      <c r="P91" s="9">
        <f t="shared" si="31"/>
        <v>12777.45</v>
      </c>
      <c r="Q91" s="9"/>
      <c r="R91" s="9"/>
      <c r="S91" s="9"/>
      <c r="T91" s="9"/>
      <c r="U91" s="9"/>
      <c r="V91" s="9"/>
      <c r="W91" s="9"/>
      <c r="X91" s="9"/>
      <c r="Y91" s="9"/>
      <c r="AA91" s="9"/>
      <c r="AB91" s="9"/>
      <c r="AC91" s="9"/>
      <c r="AD91" s="9"/>
      <c r="AE91" s="9"/>
      <c r="AF91" s="9"/>
      <c r="AG91" s="9">
        <v>11722.53</v>
      </c>
      <c r="AH91" s="9">
        <v>1054.92</v>
      </c>
      <c r="AL91" s="205"/>
      <c r="AM91" s="205"/>
      <c r="AN91" s="205"/>
    </row>
    <row r="92" spans="1:40" s="10" customFormat="1" ht="39.950000000000003" customHeight="1" x14ac:dyDescent="0.25">
      <c r="A92" s="53">
        <v>1</v>
      </c>
      <c r="B92" s="53" t="s">
        <v>204</v>
      </c>
      <c r="C92" s="89" t="s">
        <v>205</v>
      </c>
      <c r="D92" s="53" t="s">
        <v>93</v>
      </c>
      <c r="E92" s="71">
        <v>405.59</v>
      </c>
      <c r="F92" s="72">
        <v>340</v>
      </c>
      <c r="G92" s="73">
        <f t="shared" si="23"/>
        <v>137900.6</v>
      </c>
      <c r="H92" s="74">
        <f t="shared" si="24"/>
        <v>383.16</v>
      </c>
      <c r="I92" s="73">
        <f t="shared" si="25"/>
        <v>130274.4</v>
      </c>
      <c r="J92" s="181"/>
      <c r="K92" s="75">
        <f t="shared" si="26"/>
        <v>0</v>
      </c>
      <c r="L92" s="76">
        <f t="shared" si="27"/>
        <v>22.42999999999995</v>
      </c>
      <c r="M92" s="73">
        <f t="shared" si="28"/>
        <v>7626.2</v>
      </c>
      <c r="N92" s="86">
        <f t="shared" si="30"/>
        <v>0.94469784758006847</v>
      </c>
      <c r="O92" s="8"/>
      <c r="P92" s="9">
        <f t="shared" si="31"/>
        <v>383.16</v>
      </c>
      <c r="Q92" s="9"/>
      <c r="R92" s="9"/>
      <c r="S92" s="9"/>
      <c r="T92" s="9"/>
      <c r="U92" s="9"/>
      <c r="V92" s="9">
        <v>10.31</v>
      </c>
      <c r="W92" s="9">
        <v>44.55</v>
      </c>
      <c r="X92" s="9">
        <v>25.38</v>
      </c>
      <c r="Y92" s="9">
        <v>51.08</v>
      </c>
      <c r="Z92" s="10">
        <v>33.840000000000003</v>
      </c>
      <c r="AA92" s="9">
        <v>50.22</v>
      </c>
      <c r="AB92" s="9">
        <v>36.81</v>
      </c>
      <c r="AC92" s="9"/>
      <c r="AD92" s="9">
        <v>7.5</v>
      </c>
      <c r="AE92" s="9">
        <v>12.15</v>
      </c>
      <c r="AF92" s="9">
        <v>29.56</v>
      </c>
      <c r="AG92" s="9"/>
      <c r="AH92" s="9">
        <v>21.11</v>
      </c>
      <c r="AI92" s="10">
        <v>25.13</v>
      </c>
      <c r="AJ92" s="10">
        <v>21.8</v>
      </c>
      <c r="AK92" s="10">
        <v>6.36</v>
      </c>
      <c r="AL92" s="202">
        <v>7.36</v>
      </c>
      <c r="AM92" s="202"/>
      <c r="AN92" s="202"/>
    </row>
    <row r="93" spans="1:40" s="10" customFormat="1" ht="39.950000000000003" customHeight="1" x14ac:dyDescent="0.25">
      <c r="A93" s="53">
        <v>1</v>
      </c>
      <c r="B93" s="53" t="s">
        <v>206</v>
      </c>
      <c r="C93" s="89" t="s">
        <v>207</v>
      </c>
      <c r="D93" s="53" t="s">
        <v>93</v>
      </c>
      <c r="E93" s="71">
        <v>390.29</v>
      </c>
      <c r="F93" s="72">
        <v>450</v>
      </c>
      <c r="G93" s="73">
        <f t="shared" si="23"/>
        <v>175630.5</v>
      </c>
      <c r="H93" s="74">
        <f t="shared" si="24"/>
        <v>369.89</v>
      </c>
      <c r="I93" s="73">
        <f t="shared" si="25"/>
        <v>166450.5</v>
      </c>
      <c r="J93" s="181"/>
      <c r="K93" s="75">
        <f t="shared" si="26"/>
        <v>0</v>
      </c>
      <c r="L93" s="76">
        <f t="shared" si="27"/>
        <v>20.400000000000034</v>
      </c>
      <c r="M93" s="73">
        <f t="shared" si="28"/>
        <v>9180</v>
      </c>
      <c r="N93" s="86">
        <f t="shared" si="30"/>
        <v>0.94773117425504116</v>
      </c>
      <c r="O93" s="8"/>
      <c r="P93" s="9">
        <f t="shared" si="31"/>
        <v>369.89</v>
      </c>
      <c r="Q93" s="9"/>
      <c r="R93" s="9"/>
      <c r="S93" s="9"/>
      <c r="T93" s="9"/>
      <c r="U93" s="9"/>
      <c r="V93" s="9">
        <v>15.47</v>
      </c>
      <c r="W93" s="9">
        <v>29.7</v>
      </c>
      <c r="X93" s="9">
        <v>25.38</v>
      </c>
      <c r="Y93" s="9">
        <v>51.08</v>
      </c>
      <c r="Z93" s="10">
        <v>33.840000000000003</v>
      </c>
      <c r="AA93" s="9">
        <v>50.22</v>
      </c>
      <c r="AB93" s="9">
        <v>36.81</v>
      </c>
      <c r="AC93" s="9"/>
      <c r="AD93" s="9">
        <v>7.5</v>
      </c>
      <c r="AE93" s="9">
        <v>12.15</v>
      </c>
      <c r="AF93" s="9">
        <v>24.4</v>
      </c>
      <c r="AG93" s="9"/>
      <c r="AH93" s="9">
        <v>21.11</v>
      </c>
      <c r="AI93" s="10">
        <v>25.13</v>
      </c>
      <c r="AJ93" s="10">
        <v>21.8</v>
      </c>
      <c r="AK93" s="10">
        <v>6.36</v>
      </c>
      <c r="AL93" s="202">
        <v>8.94</v>
      </c>
      <c r="AM93" s="202"/>
      <c r="AN93" s="202"/>
    </row>
    <row r="94" spans="1:40" s="10" customFormat="1" ht="39.950000000000003" customHeight="1" x14ac:dyDescent="0.25">
      <c r="A94" s="53">
        <v>1</v>
      </c>
      <c r="B94" s="53" t="s">
        <v>208</v>
      </c>
      <c r="C94" s="69" t="s">
        <v>209</v>
      </c>
      <c r="D94" s="70" t="s">
        <v>93</v>
      </c>
      <c r="E94" s="71">
        <v>34</v>
      </c>
      <c r="F94" s="72">
        <v>365.8</v>
      </c>
      <c r="G94" s="73">
        <f t="shared" si="23"/>
        <v>12437.2</v>
      </c>
      <c r="H94" s="74">
        <f t="shared" si="24"/>
        <v>0</v>
      </c>
      <c r="I94" s="73">
        <f t="shared" si="25"/>
        <v>0</v>
      </c>
      <c r="J94" s="180"/>
      <c r="K94" s="75">
        <f t="shared" si="26"/>
        <v>0</v>
      </c>
      <c r="L94" s="76">
        <f t="shared" si="27"/>
        <v>34</v>
      </c>
      <c r="M94" s="73">
        <f t="shared" si="28"/>
        <v>12437.2</v>
      </c>
      <c r="N94" s="86">
        <f t="shared" si="30"/>
        <v>0</v>
      </c>
      <c r="O94" s="8"/>
      <c r="P94" s="9">
        <f t="shared" si="31"/>
        <v>0</v>
      </c>
      <c r="Q94" s="9"/>
      <c r="R94" s="9"/>
      <c r="S94" s="9"/>
      <c r="T94" s="9"/>
      <c r="U94" s="9"/>
      <c r="V94" s="9"/>
      <c r="W94" s="9"/>
      <c r="X94" s="9"/>
      <c r="Y94" s="9"/>
      <c r="AA94" s="9"/>
      <c r="AB94" s="9"/>
      <c r="AC94" s="9"/>
      <c r="AD94" s="9"/>
      <c r="AE94" s="9"/>
      <c r="AF94" s="9"/>
      <c r="AG94" s="9"/>
      <c r="AH94" s="9"/>
      <c r="AL94" s="206"/>
      <c r="AM94" s="206"/>
      <c r="AN94" s="206"/>
    </row>
    <row r="95" spans="1:40" s="10" customFormat="1" ht="39.950000000000003" customHeight="1" x14ac:dyDescent="0.25">
      <c r="A95" s="53">
        <v>1</v>
      </c>
      <c r="B95" s="53" t="s">
        <v>210</v>
      </c>
      <c r="C95" s="89" t="s">
        <v>111</v>
      </c>
      <c r="D95" s="53" t="s">
        <v>93</v>
      </c>
      <c r="E95" s="71">
        <v>542.84</v>
      </c>
      <c r="F95" s="72">
        <v>92.25</v>
      </c>
      <c r="G95" s="73">
        <f t="shared" si="23"/>
        <v>50076.99</v>
      </c>
      <c r="H95" s="74">
        <f t="shared" si="24"/>
        <v>198.60000000000002</v>
      </c>
      <c r="I95" s="73">
        <f t="shared" si="25"/>
        <v>18320.849999999999</v>
      </c>
      <c r="J95" s="179"/>
      <c r="K95" s="75">
        <f t="shared" si="26"/>
        <v>0</v>
      </c>
      <c r="L95" s="76">
        <f t="shared" si="27"/>
        <v>344.24</v>
      </c>
      <c r="M95" s="73">
        <f t="shared" si="28"/>
        <v>31756.14</v>
      </c>
      <c r="N95" s="86">
        <f t="shared" si="30"/>
        <v>0.36585365853658536</v>
      </c>
      <c r="O95" s="8"/>
      <c r="P95" s="9">
        <f t="shared" si="31"/>
        <v>198.60000000000002</v>
      </c>
      <c r="Q95" s="9"/>
      <c r="R95" s="9"/>
      <c r="S95" s="9"/>
      <c r="T95" s="9"/>
      <c r="U95" s="9"/>
      <c r="V95" s="9"/>
      <c r="W95" s="9"/>
      <c r="X95" s="9"/>
      <c r="Y95" s="9"/>
      <c r="AA95" s="9"/>
      <c r="AB95" s="9"/>
      <c r="AC95" s="9"/>
      <c r="AD95" s="9"/>
      <c r="AE95" s="9"/>
      <c r="AF95" s="9"/>
      <c r="AG95" s="9"/>
      <c r="AH95" s="9">
        <v>22.61</v>
      </c>
      <c r="AI95" s="10">
        <v>67.48</v>
      </c>
      <c r="AJ95" s="10">
        <v>75.95</v>
      </c>
      <c r="AK95" s="10">
        <v>32.56</v>
      </c>
      <c r="AL95" s="205"/>
      <c r="AM95" s="205"/>
      <c r="AN95" s="205"/>
    </row>
    <row r="96" spans="1:40" s="10" customFormat="1" ht="39.950000000000003" customHeight="1" x14ac:dyDescent="0.25">
      <c r="A96" s="53">
        <v>1</v>
      </c>
      <c r="B96" s="53" t="s">
        <v>211</v>
      </c>
      <c r="C96" s="89" t="s">
        <v>117</v>
      </c>
      <c r="D96" s="53" t="s">
        <v>96</v>
      </c>
      <c r="E96" s="71">
        <v>5428.4</v>
      </c>
      <c r="F96" s="72">
        <v>0.8</v>
      </c>
      <c r="G96" s="73">
        <f t="shared" si="23"/>
        <v>4342.72</v>
      </c>
      <c r="H96" s="74">
        <f t="shared" si="24"/>
        <v>2201.56</v>
      </c>
      <c r="I96" s="73">
        <f t="shared" si="25"/>
        <v>1761.25</v>
      </c>
      <c r="J96" s="180"/>
      <c r="K96" s="75">
        <f t="shared" si="26"/>
        <v>0</v>
      </c>
      <c r="L96" s="76">
        <f t="shared" si="27"/>
        <v>3226.8399999999997</v>
      </c>
      <c r="M96" s="73">
        <f t="shared" si="28"/>
        <v>2581.4699999999998</v>
      </c>
      <c r="N96" s="86">
        <f t="shared" si="30"/>
        <v>0.4055637941198143</v>
      </c>
      <c r="O96" s="8"/>
      <c r="P96" s="9">
        <f t="shared" si="31"/>
        <v>2201.56</v>
      </c>
      <c r="Q96" s="9"/>
      <c r="R96" s="9"/>
      <c r="S96" s="9"/>
      <c r="T96" s="9"/>
      <c r="U96" s="9"/>
      <c r="V96" s="9"/>
      <c r="W96" s="9"/>
      <c r="X96" s="9"/>
      <c r="Y96" s="9"/>
      <c r="AA96" s="9"/>
      <c r="AB96" s="9"/>
      <c r="AC96" s="9"/>
      <c r="AD96" s="9"/>
      <c r="AE96" s="9"/>
      <c r="AF96" s="9"/>
      <c r="AG96" s="9"/>
      <c r="AH96" s="9"/>
      <c r="AI96" s="10">
        <v>958.15</v>
      </c>
      <c r="AJ96" s="10">
        <v>781</v>
      </c>
      <c r="AK96" s="10">
        <v>462.41</v>
      </c>
      <c r="AL96" s="206"/>
      <c r="AM96" s="206"/>
      <c r="AN96" s="206"/>
    </row>
    <row r="97" spans="1:40" s="10" customFormat="1" ht="36" x14ac:dyDescent="0.25">
      <c r="A97" s="53">
        <v>1</v>
      </c>
      <c r="B97" s="53" t="s">
        <v>212</v>
      </c>
      <c r="C97" s="69" t="s">
        <v>213</v>
      </c>
      <c r="D97" s="70" t="s">
        <v>93</v>
      </c>
      <c r="E97" s="71">
        <v>836.91</v>
      </c>
      <c r="F97" s="72">
        <v>385</v>
      </c>
      <c r="G97" s="73">
        <f t="shared" si="23"/>
        <v>322210.34999999998</v>
      </c>
      <c r="H97" s="74">
        <f t="shared" si="24"/>
        <v>803.0100000000001</v>
      </c>
      <c r="I97" s="73">
        <f t="shared" si="25"/>
        <v>309158.84999999998</v>
      </c>
      <c r="J97" s="181">
        <v>31.95</v>
      </c>
      <c r="K97" s="75">
        <f t="shared" si="26"/>
        <v>12300.75</v>
      </c>
      <c r="L97" s="76">
        <f t="shared" si="27"/>
        <v>33.899999999999864</v>
      </c>
      <c r="M97" s="73">
        <f t="shared" si="28"/>
        <v>13051.5</v>
      </c>
      <c r="N97" s="86">
        <f t="shared" si="30"/>
        <v>0.95949385238556117</v>
      </c>
      <c r="O97" s="8"/>
      <c r="P97" s="9">
        <f t="shared" si="31"/>
        <v>771.06000000000006</v>
      </c>
      <c r="Q97" s="9"/>
      <c r="R97" s="9"/>
      <c r="S97" s="9"/>
      <c r="T97" s="9"/>
      <c r="U97" s="9"/>
      <c r="V97" s="9"/>
      <c r="W97" s="9"/>
      <c r="X97" s="9"/>
      <c r="Y97" s="9"/>
      <c r="AA97" s="9"/>
      <c r="AB97" s="9">
        <v>80</v>
      </c>
      <c r="AC97" s="9">
        <v>104</v>
      </c>
      <c r="AD97" s="9">
        <v>96.97</v>
      </c>
      <c r="AE97" s="9">
        <v>77.349999999999994</v>
      </c>
      <c r="AF97" s="9">
        <v>5.42</v>
      </c>
      <c r="AG97" s="9">
        <v>61.5</v>
      </c>
      <c r="AH97" s="9">
        <v>145.81</v>
      </c>
      <c r="AI97" s="10">
        <v>26.92</v>
      </c>
      <c r="AJ97" s="10">
        <v>26.41</v>
      </c>
      <c r="AK97" s="10">
        <v>104.33</v>
      </c>
      <c r="AL97" s="202">
        <v>42.35</v>
      </c>
      <c r="AM97" s="202"/>
      <c r="AN97" s="202"/>
    </row>
    <row r="98" spans="1:40" s="10" customFormat="1" ht="36" x14ac:dyDescent="0.25">
      <c r="A98" s="53">
        <v>1</v>
      </c>
      <c r="B98" s="53" t="s">
        <v>214</v>
      </c>
      <c r="C98" s="69" t="s">
        <v>215</v>
      </c>
      <c r="D98" s="70" t="s">
        <v>93</v>
      </c>
      <c r="E98" s="71">
        <v>490.54</v>
      </c>
      <c r="F98" s="72">
        <v>390</v>
      </c>
      <c r="G98" s="73">
        <f t="shared" si="23"/>
        <v>191310.6</v>
      </c>
      <c r="H98" s="74">
        <f t="shared" si="24"/>
        <v>421.08</v>
      </c>
      <c r="I98" s="73">
        <f t="shared" si="25"/>
        <v>164221.20000000001</v>
      </c>
      <c r="J98" s="181">
        <v>5.2</v>
      </c>
      <c r="K98" s="75">
        <f t="shared" si="26"/>
        <v>2028</v>
      </c>
      <c r="L98" s="76">
        <f t="shared" si="27"/>
        <v>69.460000000000036</v>
      </c>
      <c r="M98" s="73">
        <f t="shared" si="28"/>
        <v>27089.4</v>
      </c>
      <c r="N98" s="86">
        <f t="shared" si="30"/>
        <v>0.85840094589635918</v>
      </c>
      <c r="O98" s="8"/>
      <c r="P98" s="9">
        <f t="shared" si="31"/>
        <v>415.88</v>
      </c>
      <c r="Q98" s="9"/>
      <c r="R98" s="9"/>
      <c r="S98" s="9"/>
      <c r="T98" s="9"/>
      <c r="U98" s="9"/>
      <c r="V98" s="9"/>
      <c r="W98" s="9"/>
      <c r="X98" s="9"/>
      <c r="Y98" s="9"/>
      <c r="AA98" s="9"/>
      <c r="AB98" s="9"/>
      <c r="AC98" s="9"/>
      <c r="AD98" s="9"/>
      <c r="AE98" s="9">
        <v>133.38</v>
      </c>
      <c r="AF98" s="9">
        <v>75.08</v>
      </c>
      <c r="AG98" s="9">
        <v>31.25</v>
      </c>
      <c r="AH98" s="9"/>
      <c r="AI98" s="10">
        <v>20.100000000000001</v>
      </c>
      <c r="AJ98" s="10">
        <v>29.26</v>
      </c>
      <c r="AK98" s="10">
        <v>98.44</v>
      </c>
      <c r="AL98" s="202">
        <v>28.37</v>
      </c>
      <c r="AM98" s="202"/>
      <c r="AN98" s="202"/>
    </row>
    <row r="99" spans="1:40" s="10" customFormat="1" ht="39.950000000000003" customHeight="1" x14ac:dyDescent="0.25">
      <c r="A99" s="53">
        <v>1</v>
      </c>
      <c r="B99" s="53" t="s">
        <v>216</v>
      </c>
      <c r="C99" s="89" t="s">
        <v>217</v>
      </c>
      <c r="D99" s="70" t="s">
        <v>71</v>
      </c>
      <c r="E99" s="71">
        <v>4087.85</v>
      </c>
      <c r="F99" s="72">
        <v>17.190000000000001</v>
      </c>
      <c r="G99" s="73">
        <f t="shared" si="23"/>
        <v>70270.14</v>
      </c>
      <c r="H99" s="74">
        <f t="shared" si="24"/>
        <v>4087.85</v>
      </c>
      <c r="I99" s="73">
        <f t="shared" si="25"/>
        <v>70270.14</v>
      </c>
      <c r="J99" s="199"/>
      <c r="K99" s="75">
        <f t="shared" si="26"/>
        <v>0</v>
      </c>
      <c r="L99" s="76">
        <f t="shared" si="27"/>
        <v>0</v>
      </c>
      <c r="M99" s="73">
        <f t="shared" si="28"/>
        <v>0</v>
      </c>
      <c r="N99" s="86">
        <f t="shared" si="30"/>
        <v>1</v>
      </c>
      <c r="O99" s="8"/>
      <c r="P99" s="9">
        <f t="shared" si="31"/>
        <v>4087.85</v>
      </c>
      <c r="Q99" s="9"/>
      <c r="R99" s="9"/>
      <c r="S99" s="9"/>
      <c r="T99" s="9"/>
      <c r="U99" s="9"/>
      <c r="V99" s="9"/>
      <c r="W99" s="9"/>
      <c r="X99" s="9"/>
      <c r="Y99" s="9"/>
      <c r="AA99" s="9"/>
      <c r="AB99" s="9"/>
      <c r="AC99" s="9"/>
      <c r="AD99" s="9"/>
      <c r="AE99" s="9"/>
      <c r="AF99" s="9"/>
      <c r="AG99" s="9"/>
      <c r="AH99" s="9"/>
      <c r="AL99" s="206">
        <v>4087.85</v>
      </c>
      <c r="AM99" s="212"/>
      <c r="AN99" s="206"/>
    </row>
    <row r="100" spans="1:40" s="10" customFormat="1" ht="39.950000000000003" customHeight="1" x14ac:dyDescent="0.25">
      <c r="A100" s="53">
        <v>1</v>
      </c>
      <c r="B100" s="53" t="s">
        <v>218</v>
      </c>
      <c r="C100" s="69" t="s">
        <v>219</v>
      </c>
      <c r="D100" s="70" t="s">
        <v>71</v>
      </c>
      <c r="E100" s="71">
        <v>608.23</v>
      </c>
      <c r="F100" s="72">
        <v>36.270000000000003</v>
      </c>
      <c r="G100" s="73">
        <f t="shared" si="23"/>
        <v>22060.5</v>
      </c>
      <c r="H100" s="74">
        <f t="shared" si="24"/>
        <v>407</v>
      </c>
      <c r="I100" s="73">
        <f t="shared" si="25"/>
        <v>14761.89</v>
      </c>
      <c r="J100" s="181"/>
      <c r="K100" s="75">
        <f t="shared" si="26"/>
        <v>0</v>
      </c>
      <c r="L100" s="76">
        <f t="shared" si="27"/>
        <v>201.23000000000002</v>
      </c>
      <c r="M100" s="73">
        <f t="shared" si="28"/>
        <v>7298.61</v>
      </c>
      <c r="N100" s="86">
        <f t="shared" si="30"/>
        <v>0.66915482423335826</v>
      </c>
      <c r="O100" s="8"/>
      <c r="P100" s="9">
        <f t="shared" si="31"/>
        <v>407</v>
      </c>
      <c r="Q100" s="9"/>
      <c r="R100" s="9"/>
      <c r="S100" s="9"/>
      <c r="T100" s="9"/>
      <c r="U100" s="9"/>
      <c r="V100" s="9"/>
      <c r="W100" s="9"/>
      <c r="X100" s="9"/>
      <c r="Y100" s="9"/>
      <c r="AA100" s="9"/>
      <c r="AB100" s="9"/>
      <c r="AC100" s="9"/>
      <c r="AD100" s="9"/>
      <c r="AE100" s="9"/>
      <c r="AF100" s="9"/>
      <c r="AG100" s="9"/>
      <c r="AH100" s="9"/>
      <c r="AL100" s="202">
        <v>407</v>
      </c>
      <c r="AM100" s="202"/>
      <c r="AN100" s="202"/>
    </row>
    <row r="101" spans="1:40" s="10" customFormat="1" ht="39.950000000000003" customHeight="1" x14ac:dyDescent="0.25">
      <c r="A101" s="53">
        <v>1</v>
      </c>
      <c r="B101" s="53" t="s">
        <v>220</v>
      </c>
      <c r="C101" s="69" t="s">
        <v>221</v>
      </c>
      <c r="D101" s="70" t="s">
        <v>71</v>
      </c>
      <c r="E101" s="78">
        <v>16.64</v>
      </c>
      <c r="F101" s="72">
        <v>85.74</v>
      </c>
      <c r="G101" s="73">
        <f t="shared" si="23"/>
        <v>1426.71</v>
      </c>
      <c r="H101" s="74">
        <f t="shared" si="24"/>
        <v>7.88</v>
      </c>
      <c r="I101" s="73">
        <f t="shared" si="25"/>
        <v>675.63</v>
      </c>
      <c r="J101" s="181"/>
      <c r="K101" s="75">
        <f t="shared" si="26"/>
        <v>0</v>
      </c>
      <c r="L101" s="76">
        <f t="shared" si="27"/>
        <v>8.7600000000000016</v>
      </c>
      <c r="M101" s="73">
        <f t="shared" si="28"/>
        <v>751.08</v>
      </c>
      <c r="N101" s="86">
        <f t="shared" si="30"/>
        <v>0.47355804613411273</v>
      </c>
      <c r="O101" s="8"/>
      <c r="P101" s="9">
        <f t="shared" si="31"/>
        <v>7.88</v>
      </c>
      <c r="Q101" s="9"/>
      <c r="R101" s="9"/>
      <c r="S101" s="9"/>
      <c r="T101" s="9"/>
      <c r="U101" s="9"/>
      <c r="V101" s="9"/>
      <c r="W101" s="9"/>
      <c r="X101" s="9"/>
      <c r="Y101" s="9"/>
      <c r="AA101" s="9"/>
      <c r="AB101" s="9"/>
      <c r="AC101" s="9"/>
      <c r="AD101" s="9"/>
      <c r="AE101" s="9"/>
      <c r="AF101" s="9"/>
      <c r="AG101" s="9"/>
      <c r="AH101" s="9"/>
      <c r="AL101" s="202">
        <v>4.13</v>
      </c>
      <c r="AM101" s="202">
        <v>3.75</v>
      </c>
      <c r="AN101" s="202"/>
    </row>
    <row r="102" spans="1:40" s="10" customFormat="1" ht="39.950000000000003" customHeight="1" x14ac:dyDescent="0.25">
      <c r="A102" s="53">
        <v>1</v>
      </c>
      <c r="B102" s="53" t="s">
        <v>222</v>
      </c>
      <c r="C102" s="69" t="s">
        <v>223</v>
      </c>
      <c r="D102" s="70" t="s">
        <v>71</v>
      </c>
      <c r="E102" s="78">
        <v>5.76</v>
      </c>
      <c r="F102" s="72">
        <v>85.74</v>
      </c>
      <c r="G102" s="73">
        <f t="shared" si="23"/>
        <v>493.86</v>
      </c>
      <c r="H102" s="74">
        <f t="shared" si="24"/>
        <v>5.5</v>
      </c>
      <c r="I102" s="73">
        <f t="shared" si="25"/>
        <v>471.57</v>
      </c>
      <c r="J102" s="181"/>
      <c r="K102" s="75">
        <f t="shared" si="26"/>
        <v>0</v>
      </c>
      <c r="L102" s="76">
        <f t="shared" si="27"/>
        <v>0.25999999999999979</v>
      </c>
      <c r="M102" s="73">
        <f t="shared" si="28"/>
        <v>22.29</v>
      </c>
      <c r="N102" s="86">
        <f t="shared" si="30"/>
        <v>0.95486575142753005</v>
      </c>
      <c r="O102" s="8"/>
      <c r="P102" s="9">
        <f t="shared" si="31"/>
        <v>5.5</v>
      </c>
      <c r="Q102" s="9"/>
      <c r="R102" s="9"/>
      <c r="S102" s="9"/>
      <c r="T102" s="9"/>
      <c r="U102" s="9"/>
      <c r="V102" s="9"/>
      <c r="W102" s="9"/>
      <c r="X102" s="9"/>
      <c r="Y102" s="9"/>
      <c r="AA102" s="9"/>
      <c r="AB102" s="9"/>
      <c r="AC102" s="9"/>
      <c r="AD102" s="9"/>
      <c r="AE102" s="9"/>
      <c r="AF102" s="9"/>
      <c r="AG102" s="9"/>
      <c r="AH102" s="9"/>
      <c r="AL102" s="202">
        <v>2.5</v>
      </c>
      <c r="AM102" s="202">
        <v>3</v>
      </c>
      <c r="AN102" s="202"/>
    </row>
    <row r="103" spans="1:40" s="10" customFormat="1" ht="39.950000000000003" customHeight="1" x14ac:dyDescent="0.25">
      <c r="A103" s="53">
        <v>1</v>
      </c>
      <c r="B103" s="53" t="s">
        <v>224</v>
      </c>
      <c r="C103" s="69" t="s">
        <v>150</v>
      </c>
      <c r="D103" s="70" t="s">
        <v>45</v>
      </c>
      <c r="E103" s="78">
        <v>550</v>
      </c>
      <c r="F103" s="72">
        <v>618.92999999999995</v>
      </c>
      <c r="G103" s="73">
        <f t="shared" si="23"/>
        <v>340411.5</v>
      </c>
      <c r="H103" s="74">
        <f t="shared" si="24"/>
        <v>550</v>
      </c>
      <c r="I103" s="73">
        <f t="shared" si="25"/>
        <v>340411.5</v>
      </c>
      <c r="J103" s="181"/>
      <c r="K103" s="75">
        <f t="shared" si="26"/>
        <v>0</v>
      </c>
      <c r="L103" s="76">
        <f t="shared" si="27"/>
        <v>0</v>
      </c>
      <c r="M103" s="73">
        <f t="shared" si="28"/>
        <v>0</v>
      </c>
      <c r="N103" s="86">
        <f t="shared" si="30"/>
        <v>1</v>
      </c>
      <c r="O103" s="8"/>
      <c r="P103" s="9">
        <f t="shared" si="31"/>
        <v>550</v>
      </c>
      <c r="Q103" s="9"/>
      <c r="R103" s="9"/>
      <c r="S103" s="9"/>
      <c r="T103" s="9"/>
      <c r="U103" s="9"/>
      <c r="V103" s="9"/>
      <c r="W103" s="9"/>
      <c r="X103" s="9"/>
      <c r="Y103" s="9"/>
      <c r="AA103" s="9"/>
      <c r="AB103" s="9"/>
      <c r="AC103" s="9"/>
      <c r="AD103" s="9"/>
      <c r="AE103" s="9"/>
      <c r="AF103" s="9"/>
      <c r="AG103" s="9"/>
      <c r="AH103" s="9">
        <v>99</v>
      </c>
      <c r="AI103" s="10">
        <v>174</v>
      </c>
      <c r="AJ103" s="10">
        <v>60</v>
      </c>
      <c r="AK103" s="10">
        <v>175</v>
      </c>
      <c r="AL103" s="202">
        <v>42</v>
      </c>
      <c r="AM103" s="202"/>
      <c r="AN103" s="202"/>
    </row>
    <row r="104" spans="1:40" s="10" customFormat="1" ht="39.75" customHeight="1" x14ac:dyDescent="0.25">
      <c r="A104" s="53">
        <v>1</v>
      </c>
      <c r="B104" s="53" t="s">
        <v>225</v>
      </c>
      <c r="C104" s="69" t="s">
        <v>226</v>
      </c>
      <c r="D104" s="70" t="s">
        <v>45</v>
      </c>
      <c r="E104" s="78">
        <v>1550</v>
      </c>
      <c r="F104" s="72">
        <v>193.45</v>
      </c>
      <c r="G104" s="73">
        <f t="shared" si="23"/>
        <v>299847.5</v>
      </c>
      <c r="H104" s="74">
        <f t="shared" si="24"/>
        <v>1550</v>
      </c>
      <c r="I104" s="73">
        <f t="shared" si="25"/>
        <v>299847.5</v>
      </c>
      <c r="J104" s="180"/>
      <c r="K104" s="75">
        <f t="shared" si="26"/>
        <v>0</v>
      </c>
      <c r="L104" s="76">
        <f t="shared" si="27"/>
        <v>0</v>
      </c>
      <c r="M104" s="73">
        <f t="shared" si="28"/>
        <v>0</v>
      </c>
      <c r="N104" s="86">
        <f t="shared" si="30"/>
        <v>1</v>
      </c>
      <c r="O104" s="8"/>
      <c r="P104" s="9">
        <f t="shared" si="31"/>
        <v>1550</v>
      </c>
      <c r="Q104" s="9"/>
      <c r="R104" s="9"/>
      <c r="S104" s="9"/>
      <c r="T104" s="9"/>
      <c r="U104" s="9"/>
      <c r="V104" s="9"/>
      <c r="W104" s="9"/>
      <c r="X104" s="9"/>
      <c r="Y104" s="9"/>
      <c r="AA104" s="9"/>
      <c r="AB104" s="9"/>
      <c r="AC104" s="9"/>
      <c r="AD104" s="9"/>
      <c r="AE104" s="9">
        <v>980</v>
      </c>
      <c r="AF104" s="9">
        <v>120</v>
      </c>
      <c r="AG104" s="9"/>
      <c r="AH104" s="9"/>
      <c r="AK104" s="10">
        <v>436</v>
      </c>
      <c r="AL104" s="206"/>
      <c r="AM104" s="206">
        <v>14</v>
      </c>
      <c r="AN104" s="206"/>
    </row>
    <row r="105" spans="1:40" s="10" customFormat="1" ht="39.950000000000003" customHeight="1" x14ac:dyDescent="0.25">
      <c r="A105" s="53">
        <v>1</v>
      </c>
      <c r="B105" s="53" t="s">
        <v>227</v>
      </c>
      <c r="C105" s="89" t="s">
        <v>228</v>
      </c>
      <c r="D105" s="53" t="s">
        <v>93</v>
      </c>
      <c r="E105" s="71">
        <v>985.21</v>
      </c>
      <c r="F105" s="91">
        <v>94.04</v>
      </c>
      <c r="G105" s="73">
        <f t="shared" si="23"/>
        <v>92649.15</v>
      </c>
      <c r="H105" s="74">
        <f t="shared" si="24"/>
        <v>799.9</v>
      </c>
      <c r="I105" s="73">
        <f t="shared" si="25"/>
        <v>75222.600000000006</v>
      </c>
      <c r="J105" s="181">
        <v>11.09</v>
      </c>
      <c r="K105" s="75">
        <f t="shared" si="26"/>
        <v>1042.9000000000001</v>
      </c>
      <c r="L105" s="76">
        <f t="shared" si="27"/>
        <v>185.31000000000006</v>
      </c>
      <c r="M105" s="73">
        <f t="shared" si="28"/>
        <v>17426.55</v>
      </c>
      <c r="N105" s="86">
        <f t="shared" si="30"/>
        <v>0.81190815026365604</v>
      </c>
      <c r="O105" s="8"/>
      <c r="P105" s="9">
        <f t="shared" si="31"/>
        <v>788.81</v>
      </c>
      <c r="Q105" s="9"/>
      <c r="R105" s="9"/>
      <c r="S105" s="9"/>
      <c r="T105" s="9"/>
      <c r="U105" s="9"/>
      <c r="V105" s="9"/>
      <c r="W105" s="9">
        <v>67.2</v>
      </c>
      <c r="X105" s="9"/>
      <c r="Y105" s="9">
        <v>220</v>
      </c>
      <c r="Z105" s="10">
        <v>249.2</v>
      </c>
      <c r="AA105" s="9">
        <v>26.24</v>
      </c>
      <c r="AB105" s="9">
        <v>87.04</v>
      </c>
      <c r="AC105" s="9">
        <v>57.6</v>
      </c>
      <c r="AD105" s="9"/>
      <c r="AE105" s="9"/>
      <c r="AF105" s="9"/>
      <c r="AG105" s="9">
        <v>42.57</v>
      </c>
      <c r="AH105" s="9"/>
      <c r="AJ105" s="10">
        <v>0.9</v>
      </c>
      <c r="AK105" s="10">
        <v>35.020000000000003</v>
      </c>
      <c r="AL105" s="202">
        <v>3.04</v>
      </c>
      <c r="AM105" s="202"/>
      <c r="AN105" s="202"/>
    </row>
    <row r="106" spans="1:40" s="10" customFormat="1" ht="70.5" customHeight="1" x14ac:dyDescent="0.25">
      <c r="A106" s="53">
        <v>1</v>
      </c>
      <c r="B106" s="53" t="s">
        <v>229</v>
      </c>
      <c r="C106" s="69" t="s">
        <v>230</v>
      </c>
      <c r="D106" s="70" t="s">
        <v>45</v>
      </c>
      <c r="E106" s="78">
        <v>3630.52</v>
      </c>
      <c r="F106" s="72">
        <v>17.41</v>
      </c>
      <c r="G106" s="73">
        <f t="shared" si="23"/>
        <v>63207.35</v>
      </c>
      <c r="H106" s="74">
        <f t="shared" si="24"/>
        <v>2240.6200000000003</v>
      </c>
      <c r="I106" s="73">
        <f t="shared" si="25"/>
        <v>39009.19</v>
      </c>
      <c r="J106" s="181">
        <v>15</v>
      </c>
      <c r="K106" s="75">
        <f t="shared" si="26"/>
        <v>261.14999999999998</v>
      </c>
      <c r="L106" s="76">
        <f t="shared" si="27"/>
        <v>1389.8999999999996</v>
      </c>
      <c r="M106" s="73">
        <f t="shared" si="28"/>
        <v>24198.16</v>
      </c>
      <c r="N106" s="86">
        <f t="shared" si="30"/>
        <v>0.6171622445807331</v>
      </c>
      <c r="O106" s="8"/>
      <c r="P106" s="9">
        <f t="shared" si="31"/>
        <v>2225.6200000000003</v>
      </c>
      <c r="Q106" s="9"/>
      <c r="R106" s="9"/>
      <c r="S106" s="9"/>
      <c r="T106" s="9"/>
      <c r="U106" s="9"/>
      <c r="V106" s="9"/>
      <c r="W106" s="9"/>
      <c r="X106" s="9"/>
      <c r="Y106" s="9">
        <v>745</v>
      </c>
      <c r="Z106" s="10">
        <v>350</v>
      </c>
      <c r="AA106" s="9">
        <v>164</v>
      </c>
      <c r="AB106" s="9">
        <v>544</v>
      </c>
      <c r="AC106" s="9">
        <v>0</v>
      </c>
      <c r="AD106" s="9"/>
      <c r="AE106" s="9"/>
      <c r="AF106" s="9"/>
      <c r="AG106" s="9">
        <v>207</v>
      </c>
      <c r="AH106" s="9"/>
      <c r="AJ106" s="10">
        <v>10</v>
      </c>
      <c r="AK106" s="10">
        <v>10</v>
      </c>
      <c r="AL106" s="202">
        <v>19</v>
      </c>
      <c r="AM106" s="202">
        <v>75.78</v>
      </c>
      <c r="AN106" s="202">
        <v>100.84</v>
      </c>
    </row>
    <row r="107" spans="1:40" s="10" customFormat="1" ht="62.25" customHeight="1" x14ac:dyDescent="0.25">
      <c r="A107" s="53">
        <v>1</v>
      </c>
      <c r="B107" s="53" t="s">
        <v>231</v>
      </c>
      <c r="C107" s="89" t="s">
        <v>232</v>
      </c>
      <c r="D107" s="53" t="s">
        <v>71</v>
      </c>
      <c r="E107" s="78">
        <v>6287</v>
      </c>
      <c r="F107" s="72">
        <v>2.96</v>
      </c>
      <c r="G107" s="73">
        <f t="shared" si="23"/>
        <v>18609.52</v>
      </c>
      <c r="H107" s="74">
        <f t="shared" si="24"/>
        <v>6286.9999999999991</v>
      </c>
      <c r="I107" s="73">
        <f t="shared" si="25"/>
        <v>18609.52</v>
      </c>
      <c r="J107" s="197"/>
      <c r="K107" s="75">
        <f t="shared" si="26"/>
        <v>0</v>
      </c>
      <c r="L107" s="76">
        <f t="shared" si="27"/>
        <v>0</v>
      </c>
      <c r="M107" s="73">
        <f t="shared" si="28"/>
        <v>0</v>
      </c>
      <c r="N107" s="86">
        <f t="shared" si="30"/>
        <v>1</v>
      </c>
      <c r="O107" s="8"/>
      <c r="P107" s="9">
        <f t="shared" si="31"/>
        <v>6286.9999999999991</v>
      </c>
      <c r="Q107" s="9"/>
      <c r="R107" s="9"/>
      <c r="S107" s="9">
        <v>521.5</v>
      </c>
      <c r="T107" s="9"/>
      <c r="U107" s="9"/>
      <c r="V107" s="9"/>
      <c r="W107" s="9">
        <v>344</v>
      </c>
      <c r="X107" s="9"/>
      <c r="Y107" s="9">
        <v>1857</v>
      </c>
      <c r="Z107" s="10">
        <v>1619</v>
      </c>
      <c r="AA107" s="9">
        <v>295.2</v>
      </c>
      <c r="AB107" s="9">
        <v>979.2</v>
      </c>
      <c r="AC107" s="9">
        <v>217.2</v>
      </c>
      <c r="AD107" s="9"/>
      <c r="AE107" s="9"/>
      <c r="AF107" s="9"/>
      <c r="AG107" s="9">
        <v>398</v>
      </c>
      <c r="AH107" s="9"/>
      <c r="AJ107" s="10">
        <v>18</v>
      </c>
      <c r="AK107" s="10">
        <v>18</v>
      </c>
      <c r="AL107" s="202">
        <v>19.899999999999999</v>
      </c>
      <c r="AM107" s="213"/>
      <c r="AN107" s="213"/>
    </row>
    <row r="108" spans="1:40" s="10" customFormat="1" ht="39.950000000000003" customHeight="1" x14ac:dyDescent="0.25">
      <c r="A108" s="274" t="s">
        <v>233</v>
      </c>
      <c r="B108" s="274"/>
      <c r="C108" s="274"/>
      <c r="D108" s="274"/>
      <c r="E108" s="274"/>
      <c r="F108" s="274"/>
      <c r="G108" s="79">
        <f>SUM(G68:G107)</f>
        <v>7654569.2599999979</v>
      </c>
      <c r="H108" s="80"/>
      <c r="I108" s="79">
        <f>SUM(I68:I107)</f>
        <v>6218049.2599999998</v>
      </c>
      <c r="J108" s="181"/>
      <c r="K108" s="79">
        <f>SUM(K68:K107)</f>
        <v>121490.97</v>
      </c>
      <c r="L108" s="82"/>
      <c r="M108" s="79">
        <f>SUM(M68:M107)</f>
        <v>1436519.9999999998</v>
      </c>
      <c r="N108" s="93">
        <f t="shared" si="30"/>
        <v>0.81233170003350408</v>
      </c>
      <c r="O108" s="8"/>
      <c r="P108" s="9">
        <f t="shared" si="31"/>
        <v>0</v>
      </c>
      <c r="Q108" s="9"/>
      <c r="R108" s="9"/>
      <c r="S108" s="9"/>
      <c r="T108" s="9"/>
      <c r="U108" s="9"/>
      <c r="V108" s="9"/>
      <c r="W108" s="9"/>
      <c r="X108" s="9"/>
      <c r="Y108" s="9"/>
      <c r="AA108" s="9"/>
      <c r="AB108" s="9"/>
      <c r="AC108" s="9"/>
      <c r="AD108" s="9"/>
      <c r="AE108" s="9"/>
      <c r="AF108" s="9"/>
      <c r="AG108" s="9"/>
      <c r="AH108" s="9"/>
      <c r="AL108" s="202"/>
      <c r="AM108" s="202"/>
      <c r="AN108" s="202"/>
    </row>
    <row r="109" spans="1:40" s="10" customFormat="1" ht="39.950000000000003" customHeight="1" x14ac:dyDescent="0.25">
      <c r="A109" s="68">
        <v>1</v>
      </c>
      <c r="B109" s="68" t="s">
        <v>234</v>
      </c>
      <c r="C109" s="83" t="s">
        <v>235</v>
      </c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221"/>
      <c r="O109" s="8"/>
      <c r="P109" s="9">
        <f t="shared" si="31"/>
        <v>0</v>
      </c>
      <c r="Q109" s="9"/>
      <c r="R109" s="9"/>
      <c r="S109" s="9"/>
      <c r="T109" s="9"/>
      <c r="U109" s="9"/>
      <c r="V109" s="9"/>
      <c r="W109" s="9"/>
      <c r="X109" s="9"/>
      <c r="Y109" s="9"/>
      <c r="AA109" s="9"/>
      <c r="AB109" s="9"/>
      <c r="AC109" s="9"/>
      <c r="AD109" s="9"/>
      <c r="AE109" s="9"/>
      <c r="AF109" s="9"/>
      <c r="AG109" s="9"/>
      <c r="AH109" s="9"/>
      <c r="AL109" s="203"/>
      <c r="AM109" s="203"/>
      <c r="AN109" s="203"/>
    </row>
    <row r="110" spans="1:40" s="105" customFormat="1" ht="39.950000000000003" customHeight="1" x14ac:dyDescent="0.25">
      <c r="A110" s="98">
        <v>1</v>
      </c>
      <c r="B110" s="98" t="s">
        <v>236</v>
      </c>
      <c r="C110" s="69" t="s">
        <v>237</v>
      </c>
      <c r="D110" s="70" t="s">
        <v>93</v>
      </c>
      <c r="E110" s="78">
        <v>12175.77</v>
      </c>
      <c r="F110" s="72">
        <v>8.61</v>
      </c>
      <c r="G110" s="77">
        <f t="shared" ref="G110:G149" si="32">ROUND(E110*F110,2)</f>
        <v>104833.38</v>
      </c>
      <c r="H110" s="99">
        <f t="shared" ref="H110:H149" si="33">P110+J110</f>
        <v>9416.6000000000022</v>
      </c>
      <c r="I110" s="73">
        <f t="shared" ref="I110:I149" si="34">ROUND(H110*F110,2)</f>
        <v>81076.929999999993</v>
      </c>
      <c r="J110" s="181">
        <v>88.6</v>
      </c>
      <c r="K110" s="75">
        <f t="shared" ref="K110:K149" si="35">ROUND(J110*F110,2)</f>
        <v>762.85</v>
      </c>
      <c r="L110" s="100">
        <f t="shared" ref="L110:L149" si="36">E110-H110</f>
        <v>2759.1699999999983</v>
      </c>
      <c r="M110" s="73">
        <f t="shared" ref="M110:M149" si="37">ROUND(G110-I110,2)</f>
        <v>23756.45</v>
      </c>
      <c r="N110" s="59">
        <f>IF(G110=0,"",I110/G110)</f>
        <v>0.77338849515297503</v>
      </c>
      <c r="O110" s="103"/>
      <c r="P110" s="9">
        <f t="shared" si="31"/>
        <v>9328.0000000000018</v>
      </c>
      <c r="Q110" s="104"/>
      <c r="R110" s="104"/>
      <c r="S110" s="104"/>
      <c r="T110" s="104"/>
      <c r="U110" s="104"/>
      <c r="V110" s="104">
        <v>458.85</v>
      </c>
      <c r="W110" s="104">
        <v>990.16</v>
      </c>
      <c r="X110" s="104">
        <v>1530.76</v>
      </c>
      <c r="Y110" s="104">
        <v>695.69</v>
      </c>
      <c r="Z110" s="105">
        <v>2172.39</v>
      </c>
      <c r="AA110" s="104">
        <v>26.24</v>
      </c>
      <c r="AB110" s="104">
        <v>767.85</v>
      </c>
      <c r="AC110" s="104">
        <v>254.46</v>
      </c>
      <c r="AD110" s="104"/>
      <c r="AE110" s="104"/>
      <c r="AF110" s="104">
        <v>534.94000000000096</v>
      </c>
      <c r="AG110" s="104">
        <v>42.57</v>
      </c>
      <c r="AH110" s="104">
        <v>529.37</v>
      </c>
      <c r="AI110" s="105">
        <v>1244.22</v>
      </c>
      <c r="AK110" s="105">
        <v>9.2100000000000009</v>
      </c>
      <c r="AL110" s="202">
        <v>18.940000000000001</v>
      </c>
      <c r="AM110" s="202"/>
      <c r="AN110" s="202">
        <v>52.35</v>
      </c>
    </row>
    <row r="111" spans="1:40" s="10" customFormat="1" ht="39.950000000000003" customHeight="1" x14ac:dyDescent="0.25">
      <c r="A111" s="55">
        <v>1</v>
      </c>
      <c r="B111" s="55" t="s">
        <v>238</v>
      </c>
      <c r="C111" s="89" t="s">
        <v>159</v>
      </c>
      <c r="D111" s="53" t="s">
        <v>93</v>
      </c>
      <c r="E111" s="78">
        <v>2899.79</v>
      </c>
      <c r="F111" s="72">
        <v>6.16</v>
      </c>
      <c r="G111" s="73">
        <f>ROUND(E111*F111,2)-0.02</f>
        <v>17862.689999999999</v>
      </c>
      <c r="H111" s="74">
        <f t="shared" si="33"/>
        <v>2506.0299999999997</v>
      </c>
      <c r="I111" s="73">
        <f t="shared" si="34"/>
        <v>15437.14</v>
      </c>
      <c r="J111" s="181">
        <v>-71.650000000000006</v>
      </c>
      <c r="K111" s="75">
        <f t="shared" si="35"/>
        <v>-441.36</v>
      </c>
      <c r="L111" s="76">
        <f t="shared" si="36"/>
        <v>393.76000000000022</v>
      </c>
      <c r="M111" s="73">
        <f t="shared" si="37"/>
        <v>2425.5500000000002</v>
      </c>
      <c r="N111" s="86">
        <f>IF(G111=0,"",I111/G111)</f>
        <v>0.86421138137648923</v>
      </c>
      <c r="O111" s="8"/>
      <c r="P111" s="9">
        <f t="shared" si="31"/>
        <v>2577.6799999999998</v>
      </c>
      <c r="Q111" s="9"/>
      <c r="R111" s="9"/>
      <c r="S111" s="9"/>
      <c r="T111" s="9"/>
      <c r="U111" s="9"/>
      <c r="V111" s="9">
        <v>57.72</v>
      </c>
      <c r="W111" s="9">
        <v>162.36000000000001</v>
      </c>
      <c r="X111" s="9">
        <v>92.08</v>
      </c>
      <c r="Y111" s="9">
        <v>278.14</v>
      </c>
      <c r="Z111" s="10">
        <v>379.83</v>
      </c>
      <c r="AA111" s="9"/>
      <c r="AB111" s="9">
        <v>40.33</v>
      </c>
      <c r="AC111" s="9">
        <v>75.39</v>
      </c>
      <c r="AD111" s="9"/>
      <c r="AE111" s="9"/>
      <c r="AF111" s="9">
        <v>23.99</v>
      </c>
      <c r="AG111" s="9">
        <v>42.57</v>
      </c>
      <c r="AH111" s="9">
        <v>63.99</v>
      </c>
      <c r="AI111" s="10">
        <v>1270.5</v>
      </c>
      <c r="AK111" s="10">
        <v>9.2100000000000009</v>
      </c>
      <c r="AL111" s="202">
        <v>22.02</v>
      </c>
      <c r="AM111" s="202"/>
      <c r="AN111" s="202">
        <v>59.55</v>
      </c>
    </row>
    <row r="112" spans="1:40" s="10" customFormat="1" ht="39.950000000000003" hidden="1" customHeight="1" x14ac:dyDescent="0.25">
      <c r="A112" s="226">
        <v>1</v>
      </c>
      <c r="B112" s="226" t="s">
        <v>239</v>
      </c>
      <c r="C112" s="238" t="s">
        <v>165</v>
      </c>
      <c r="D112" s="239" t="s">
        <v>96</v>
      </c>
      <c r="E112" s="252">
        <v>0</v>
      </c>
      <c r="F112" s="240">
        <v>0.77</v>
      </c>
      <c r="G112" s="231">
        <f t="shared" si="32"/>
        <v>0</v>
      </c>
      <c r="H112" s="232">
        <f t="shared" si="33"/>
        <v>0</v>
      </c>
      <c r="I112" s="244">
        <f t="shared" si="34"/>
        <v>0</v>
      </c>
      <c r="J112" s="253"/>
      <c r="K112" s="254">
        <f t="shared" si="35"/>
        <v>0</v>
      </c>
      <c r="L112" s="235">
        <f t="shared" si="36"/>
        <v>0</v>
      </c>
      <c r="M112" s="231">
        <f t="shared" si="37"/>
        <v>0</v>
      </c>
      <c r="N112" s="237">
        <v>0</v>
      </c>
      <c r="O112" s="8"/>
      <c r="P112" s="9">
        <f t="shared" si="31"/>
        <v>0</v>
      </c>
      <c r="Q112" s="9"/>
      <c r="R112" s="9"/>
      <c r="S112" s="9"/>
      <c r="T112" s="9"/>
      <c r="U112" s="9"/>
      <c r="V112" s="9"/>
      <c r="W112" s="9"/>
      <c r="X112" s="9"/>
      <c r="Y112" s="9"/>
      <c r="AA112" s="9"/>
      <c r="AB112" s="9"/>
      <c r="AC112" s="9"/>
      <c r="AD112" s="9"/>
      <c r="AE112" s="9"/>
      <c r="AF112" s="9"/>
      <c r="AG112" s="9"/>
      <c r="AH112" s="9"/>
      <c r="AL112" s="214"/>
      <c r="AM112" s="214"/>
      <c r="AN112" s="214"/>
    </row>
    <row r="113" spans="1:40" s="10" customFormat="1" ht="39.950000000000003" customHeight="1" x14ac:dyDescent="0.25">
      <c r="A113" s="98">
        <v>1</v>
      </c>
      <c r="B113" s="98" t="s">
        <v>240</v>
      </c>
      <c r="C113" s="69" t="s">
        <v>241</v>
      </c>
      <c r="D113" s="70" t="s">
        <v>93</v>
      </c>
      <c r="E113" s="78">
        <v>11825.58</v>
      </c>
      <c r="F113" s="72">
        <v>9.43</v>
      </c>
      <c r="G113" s="77">
        <f t="shared" si="32"/>
        <v>111515.22</v>
      </c>
      <c r="H113" s="99">
        <f t="shared" si="33"/>
        <v>8594.5400000000009</v>
      </c>
      <c r="I113" s="77">
        <f t="shared" si="34"/>
        <v>81046.509999999995</v>
      </c>
      <c r="J113" s="181">
        <v>75.31</v>
      </c>
      <c r="K113" s="75">
        <f t="shared" si="35"/>
        <v>710.17</v>
      </c>
      <c r="L113" s="100">
        <f t="shared" si="36"/>
        <v>3231.0399999999991</v>
      </c>
      <c r="M113" s="73">
        <f t="shared" si="37"/>
        <v>30468.71</v>
      </c>
      <c r="N113" s="86">
        <f t="shared" ref="N113:N123" si="38">IF(G113=0,"",I113/G113)</f>
        <v>0.72677532268689415</v>
      </c>
      <c r="O113" s="8"/>
      <c r="P113" s="9">
        <f t="shared" si="31"/>
        <v>8519.2300000000014</v>
      </c>
      <c r="Q113" s="9"/>
      <c r="R113" s="9"/>
      <c r="S113" s="9"/>
      <c r="T113" s="9"/>
      <c r="U113" s="9"/>
      <c r="V113" s="9">
        <v>1139.72</v>
      </c>
      <c r="W113" s="9">
        <v>787.75</v>
      </c>
      <c r="X113" s="9">
        <v>1399.08</v>
      </c>
      <c r="Y113" s="9">
        <v>391.96</v>
      </c>
      <c r="Z113" s="10">
        <v>1117.83</v>
      </c>
      <c r="AA113" s="9"/>
      <c r="AB113" s="9"/>
      <c r="AC113" s="9"/>
      <c r="AD113" s="9"/>
      <c r="AE113" s="9"/>
      <c r="AF113" s="9">
        <v>1207.58</v>
      </c>
      <c r="AG113" s="9"/>
      <c r="AH113" s="9">
        <v>425.75</v>
      </c>
      <c r="AI113" s="10">
        <v>1987.76</v>
      </c>
      <c r="AK113" s="10">
        <v>7.29</v>
      </c>
      <c r="AL113" s="202">
        <v>14.15</v>
      </c>
      <c r="AM113" s="202"/>
      <c r="AN113" s="202">
        <v>40.36</v>
      </c>
    </row>
    <row r="114" spans="1:40" s="10" customFormat="1" ht="39.950000000000003" customHeight="1" x14ac:dyDescent="0.25">
      <c r="A114" s="55">
        <v>1</v>
      </c>
      <c r="B114" s="55" t="s">
        <v>242</v>
      </c>
      <c r="C114" s="89" t="s">
        <v>243</v>
      </c>
      <c r="D114" s="53" t="s">
        <v>71</v>
      </c>
      <c r="E114" s="78">
        <v>277.67</v>
      </c>
      <c r="F114" s="72">
        <v>82.7</v>
      </c>
      <c r="G114" s="73">
        <f t="shared" si="32"/>
        <v>22963.31</v>
      </c>
      <c r="H114" s="74">
        <f t="shared" si="33"/>
        <v>77.67</v>
      </c>
      <c r="I114" s="73">
        <f t="shared" si="34"/>
        <v>6423.31</v>
      </c>
      <c r="J114" s="180"/>
      <c r="K114" s="75">
        <f t="shared" si="35"/>
        <v>0</v>
      </c>
      <c r="L114" s="76">
        <f t="shared" si="36"/>
        <v>200</v>
      </c>
      <c r="M114" s="73">
        <f t="shared" si="37"/>
        <v>16540</v>
      </c>
      <c r="N114" s="86">
        <f t="shared" si="38"/>
        <v>0.2797205629327828</v>
      </c>
      <c r="O114" s="8"/>
      <c r="P114" s="9">
        <f t="shared" si="31"/>
        <v>77.67</v>
      </c>
      <c r="Q114" s="9"/>
      <c r="R114" s="9"/>
      <c r="S114" s="9"/>
      <c r="T114" s="9"/>
      <c r="U114" s="9"/>
      <c r="V114" s="9"/>
      <c r="W114" s="9"/>
      <c r="X114" s="9"/>
      <c r="Y114" s="9"/>
      <c r="AA114" s="9"/>
      <c r="AB114" s="9"/>
      <c r="AC114" s="9"/>
      <c r="AD114" s="9"/>
      <c r="AE114" s="9"/>
      <c r="AF114" s="9"/>
      <c r="AG114" s="9"/>
      <c r="AH114" s="9"/>
      <c r="AI114" s="10">
        <v>77.67</v>
      </c>
      <c r="AL114" s="206"/>
      <c r="AM114" s="206"/>
      <c r="AN114" s="206"/>
    </row>
    <row r="115" spans="1:40" s="10" customFormat="1" ht="39.950000000000003" customHeight="1" x14ac:dyDescent="0.25">
      <c r="A115" s="55">
        <v>1</v>
      </c>
      <c r="B115" s="55" t="s">
        <v>244</v>
      </c>
      <c r="C115" s="89" t="s">
        <v>245</v>
      </c>
      <c r="D115" s="53" t="s">
        <v>71</v>
      </c>
      <c r="E115" s="78">
        <v>225</v>
      </c>
      <c r="F115" s="72">
        <v>56.44</v>
      </c>
      <c r="G115" s="73">
        <f t="shared" si="32"/>
        <v>12699</v>
      </c>
      <c r="H115" s="74">
        <f t="shared" si="33"/>
        <v>72.819999999999993</v>
      </c>
      <c r="I115" s="73">
        <f t="shared" si="34"/>
        <v>4109.96</v>
      </c>
      <c r="J115" s="181">
        <v>47.82</v>
      </c>
      <c r="K115" s="75">
        <f t="shared" si="35"/>
        <v>2698.96</v>
      </c>
      <c r="L115" s="76">
        <f t="shared" si="36"/>
        <v>152.18</v>
      </c>
      <c r="M115" s="73">
        <f t="shared" si="37"/>
        <v>8589.0400000000009</v>
      </c>
      <c r="N115" s="86">
        <f t="shared" si="38"/>
        <v>0.32364438144735808</v>
      </c>
      <c r="O115" s="8"/>
      <c r="P115" s="9">
        <f t="shared" si="31"/>
        <v>25</v>
      </c>
      <c r="Q115" s="9"/>
      <c r="R115" s="9"/>
      <c r="S115" s="9"/>
      <c r="T115" s="9"/>
      <c r="U115" s="9"/>
      <c r="V115" s="9"/>
      <c r="W115" s="9"/>
      <c r="X115" s="9"/>
      <c r="Y115" s="9"/>
      <c r="AA115" s="9"/>
      <c r="AB115" s="9"/>
      <c r="AC115" s="9"/>
      <c r="AD115" s="9"/>
      <c r="AE115" s="9"/>
      <c r="AF115" s="9"/>
      <c r="AG115" s="9"/>
      <c r="AH115" s="9"/>
      <c r="AK115" s="10">
        <v>25</v>
      </c>
      <c r="AL115" s="206"/>
      <c r="AM115" s="206"/>
      <c r="AN115" s="206"/>
    </row>
    <row r="116" spans="1:40" s="10" customFormat="1" ht="39.950000000000003" hidden="1" customHeight="1" x14ac:dyDescent="0.25">
      <c r="A116" s="226">
        <v>1</v>
      </c>
      <c r="B116" s="226" t="s">
        <v>246</v>
      </c>
      <c r="C116" s="238" t="s">
        <v>247</v>
      </c>
      <c r="D116" s="239" t="s">
        <v>71</v>
      </c>
      <c r="E116" s="255">
        <v>0</v>
      </c>
      <c r="F116" s="230">
        <v>12</v>
      </c>
      <c r="G116" s="231">
        <f t="shared" si="32"/>
        <v>0</v>
      </c>
      <c r="H116" s="232">
        <f t="shared" si="33"/>
        <v>0</v>
      </c>
      <c r="I116" s="231">
        <f t="shared" si="34"/>
        <v>0</v>
      </c>
      <c r="J116" s="249"/>
      <c r="K116" s="234">
        <f t="shared" si="35"/>
        <v>0</v>
      </c>
      <c r="L116" s="235">
        <f t="shared" si="36"/>
        <v>0</v>
      </c>
      <c r="M116" s="231">
        <f t="shared" si="37"/>
        <v>0</v>
      </c>
      <c r="N116" s="237" t="str">
        <f t="shared" si="38"/>
        <v/>
      </c>
      <c r="O116" s="8"/>
      <c r="P116" s="9">
        <f t="shared" si="31"/>
        <v>0</v>
      </c>
      <c r="Q116" s="9"/>
      <c r="R116" s="9"/>
      <c r="S116" s="9"/>
      <c r="T116" s="9"/>
      <c r="U116" s="9"/>
      <c r="V116" s="9"/>
      <c r="W116" s="9"/>
      <c r="X116" s="9"/>
      <c r="Y116" s="9"/>
      <c r="AA116" s="9"/>
      <c r="AB116" s="9"/>
      <c r="AC116" s="9"/>
      <c r="AD116" s="9"/>
      <c r="AE116" s="9"/>
      <c r="AF116" s="9"/>
      <c r="AG116" s="9"/>
      <c r="AH116" s="9"/>
      <c r="AL116" s="206"/>
      <c r="AM116" s="206"/>
      <c r="AN116" s="206"/>
    </row>
    <row r="117" spans="1:40" s="10" customFormat="1" ht="39.950000000000003" hidden="1" customHeight="1" x14ac:dyDescent="0.25">
      <c r="A117" s="226">
        <v>1</v>
      </c>
      <c r="B117" s="226" t="s">
        <v>248</v>
      </c>
      <c r="C117" s="238" t="s">
        <v>249</v>
      </c>
      <c r="D117" s="239" t="s">
        <v>71</v>
      </c>
      <c r="E117" s="255">
        <v>0</v>
      </c>
      <c r="F117" s="230">
        <v>66.08</v>
      </c>
      <c r="G117" s="231">
        <f t="shared" si="32"/>
        <v>0</v>
      </c>
      <c r="H117" s="232">
        <f t="shared" si="33"/>
        <v>0</v>
      </c>
      <c r="I117" s="231">
        <f t="shared" si="34"/>
        <v>0</v>
      </c>
      <c r="J117" s="249"/>
      <c r="K117" s="234">
        <f t="shared" si="35"/>
        <v>0</v>
      </c>
      <c r="L117" s="235">
        <f t="shared" si="36"/>
        <v>0</v>
      </c>
      <c r="M117" s="231">
        <f t="shared" si="37"/>
        <v>0</v>
      </c>
      <c r="N117" s="237" t="str">
        <f t="shared" si="38"/>
        <v/>
      </c>
      <c r="O117" s="8"/>
      <c r="P117" s="9">
        <f t="shared" si="31"/>
        <v>0</v>
      </c>
      <c r="Q117" s="9"/>
      <c r="R117" s="9"/>
      <c r="S117" s="9"/>
      <c r="T117" s="9"/>
      <c r="U117" s="9"/>
      <c r="V117" s="9"/>
      <c r="W117" s="9"/>
      <c r="X117" s="9"/>
      <c r="Y117" s="9"/>
      <c r="AA117" s="9"/>
      <c r="AB117" s="9"/>
      <c r="AC117" s="9"/>
      <c r="AD117" s="9"/>
      <c r="AE117" s="9"/>
      <c r="AF117" s="9"/>
      <c r="AG117" s="9"/>
      <c r="AH117" s="9"/>
      <c r="AL117" s="206"/>
      <c r="AM117" s="206"/>
      <c r="AN117" s="206"/>
    </row>
    <row r="118" spans="1:40" s="10" customFormat="1" ht="39.950000000000003" customHeight="1" x14ac:dyDescent="0.25">
      <c r="A118" s="55">
        <v>1</v>
      </c>
      <c r="B118" s="55" t="s">
        <v>250</v>
      </c>
      <c r="C118" s="89" t="s">
        <v>251</v>
      </c>
      <c r="D118" s="53" t="s">
        <v>93</v>
      </c>
      <c r="E118" s="78">
        <v>400</v>
      </c>
      <c r="F118" s="72">
        <v>131.25</v>
      </c>
      <c r="G118" s="73">
        <f t="shared" si="32"/>
        <v>52500</v>
      </c>
      <c r="H118" s="74">
        <f t="shared" si="33"/>
        <v>382.5</v>
      </c>
      <c r="I118" s="73">
        <f t="shared" si="34"/>
        <v>50203.13</v>
      </c>
      <c r="J118" s="181">
        <v>5.52</v>
      </c>
      <c r="K118" s="75">
        <f t="shared" si="35"/>
        <v>724.5</v>
      </c>
      <c r="L118" s="76">
        <f t="shared" si="36"/>
        <v>17.5</v>
      </c>
      <c r="M118" s="73">
        <f t="shared" si="37"/>
        <v>2296.87</v>
      </c>
      <c r="N118" s="86">
        <f t="shared" si="38"/>
        <v>0.95625009523809523</v>
      </c>
      <c r="O118" s="8"/>
      <c r="P118" s="9">
        <f t="shared" si="31"/>
        <v>376.98</v>
      </c>
      <c r="Q118" s="9"/>
      <c r="R118" s="9"/>
      <c r="S118" s="9"/>
      <c r="T118" s="9"/>
      <c r="U118" s="9"/>
      <c r="V118" s="9">
        <v>21.39</v>
      </c>
      <c r="W118" s="9">
        <v>40.049999999999997</v>
      </c>
      <c r="X118" s="9">
        <v>39.6</v>
      </c>
      <c r="Y118" s="9">
        <v>28.93</v>
      </c>
      <c r="Z118" s="10">
        <v>90.22</v>
      </c>
      <c r="AA118" s="9">
        <v>8.11</v>
      </c>
      <c r="AB118" s="9">
        <v>21.01</v>
      </c>
      <c r="AC118" s="9">
        <v>13.34</v>
      </c>
      <c r="AD118" s="9"/>
      <c r="AE118" s="9"/>
      <c r="AF118" s="9">
        <v>14.93</v>
      </c>
      <c r="AG118" s="9"/>
      <c r="AH118" s="9">
        <v>39.630000000000003</v>
      </c>
      <c r="AI118" s="10">
        <v>52.43</v>
      </c>
      <c r="AK118" s="10">
        <v>0.83</v>
      </c>
      <c r="AL118" s="202">
        <v>1.72</v>
      </c>
      <c r="AM118" s="202"/>
      <c r="AN118" s="202">
        <v>4.79</v>
      </c>
    </row>
    <row r="119" spans="1:40" s="10" customFormat="1" ht="39.950000000000003" customHeight="1" x14ac:dyDescent="0.25">
      <c r="A119" s="55">
        <v>1</v>
      </c>
      <c r="B119" s="55" t="s">
        <v>252</v>
      </c>
      <c r="C119" s="89" t="s">
        <v>253</v>
      </c>
      <c r="D119" s="53" t="s">
        <v>45</v>
      </c>
      <c r="E119" s="71">
        <v>750</v>
      </c>
      <c r="F119" s="72">
        <v>104.73</v>
      </c>
      <c r="G119" s="73">
        <f t="shared" si="32"/>
        <v>78547.5</v>
      </c>
      <c r="H119" s="74">
        <f t="shared" si="33"/>
        <v>750.00000000000011</v>
      </c>
      <c r="I119" s="73">
        <f t="shared" si="34"/>
        <v>78547.5</v>
      </c>
      <c r="J119" s="181">
        <v>4.13</v>
      </c>
      <c r="K119" s="75">
        <f t="shared" si="35"/>
        <v>432.53</v>
      </c>
      <c r="L119" s="76">
        <f t="shared" si="36"/>
        <v>0</v>
      </c>
      <c r="M119" s="73">
        <f t="shared" si="37"/>
        <v>0</v>
      </c>
      <c r="N119" s="86">
        <f t="shared" si="38"/>
        <v>1</v>
      </c>
      <c r="O119" s="8"/>
      <c r="P119" s="9">
        <f t="shared" si="31"/>
        <v>745.87000000000012</v>
      </c>
      <c r="Q119" s="9"/>
      <c r="R119" s="9"/>
      <c r="S119" s="9"/>
      <c r="T119" s="9"/>
      <c r="U119" s="9"/>
      <c r="V119" s="9">
        <v>83.6</v>
      </c>
      <c r="W119" s="9">
        <v>73.430000000000007</v>
      </c>
      <c r="X119" s="9">
        <v>126.22</v>
      </c>
      <c r="Y119" s="9">
        <v>57.21</v>
      </c>
      <c r="Z119" s="10">
        <v>195</v>
      </c>
      <c r="AA119" s="9"/>
      <c r="AB119" s="9">
        <v>37.5</v>
      </c>
      <c r="AC119" s="9">
        <v>72.2</v>
      </c>
      <c r="AD119" s="9"/>
      <c r="AE119" s="9"/>
      <c r="AF119" s="9">
        <v>25.71</v>
      </c>
      <c r="AG119" s="9"/>
      <c r="AH119" s="9">
        <v>66</v>
      </c>
      <c r="AK119" s="10">
        <v>6</v>
      </c>
      <c r="AL119" s="202">
        <v>3</v>
      </c>
      <c r="AM119" s="202"/>
      <c r="AN119" s="202"/>
    </row>
    <row r="120" spans="1:40" s="10" customFormat="1" ht="39.950000000000003" customHeight="1" x14ac:dyDescent="0.25">
      <c r="A120" s="55">
        <v>1</v>
      </c>
      <c r="B120" s="55" t="s">
        <v>254</v>
      </c>
      <c r="C120" s="89" t="s">
        <v>255</v>
      </c>
      <c r="D120" s="53" t="s">
        <v>45</v>
      </c>
      <c r="E120" s="71">
        <v>411.5</v>
      </c>
      <c r="F120" s="91">
        <v>137.22</v>
      </c>
      <c r="G120" s="73">
        <f t="shared" si="32"/>
        <v>56466.03</v>
      </c>
      <c r="H120" s="74">
        <f t="shared" si="33"/>
        <v>411.50000000000006</v>
      </c>
      <c r="I120" s="73">
        <f t="shared" si="34"/>
        <v>56466.03</v>
      </c>
      <c r="J120" s="180">
        <v>0.5</v>
      </c>
      <c r="K120" s="75">
        <f t="shared" si="35"/>
        <v>68.61</v>
      </c>
      <c r="L120" s="76">
        <f t="shared" si="36"/>
        <v>0</v>
      </c>
      <c r="M120" s="73">
        <f t="shared" si="37"/>
        <v>0</v>
      </c>
      <c r="N120" s="222">
        <f t="shared" si="38"/>
        <v>1</v>
      </c>
      <c r="O120" s="8"/>
      <c r="P120" s="9">
        <f t="shared" si="31"/>
        <v>411.00000000000006</v>
      </c>
      <c r="Q120" s="9"/>
      <c r="R120" s="9"/>
      <c r="S120" s="9"/>
      <c r="T120" s="9"/>
      <c r="U120" s="9"/>
      <c r="V120" s="9">
        <v>26.8</v>
      </c>
      <c r="W120" s="9">
        <v>55.4</v>
      </c>
      <c r="X120" s="9">
        <v>69.48</v>
      </c>
      <c r="Y120" s="9">
        <v>54.18</v>
      </c>
      <c r="Z120" s="10">
        <v>153.62</v>
      </c>
      <c r="AA120" s="9"/>
      <c r="AB120" s="9">
        <v>46.1</v>
      </c>
      <c r="AC120" s="9">
        <v>5.42</v>
      </c>
      <c r="AD120" s="9"/>
      <c r="AE120" s="9"/>
      <c r="AF120" s="9"/>
      <c r="AG120" s="9"/>
      <c r="AH120" s="9"/>
      <c r="AL120" s="206"/>
      <c r="AM120" s="206"/>
      <c r="AN120" s="206"/>
    </row>
    <row r="121" spans="1:40" s="10" customFormat="1" ht="39.950000000000003" customHeight="1" x14ac:dyDescent="0.25">
      <c r="A121" s="55">
        <v>1</v>
      </c>
      <c r="B121" s="53" t="s">
        <v>256</v>
      </c>
      <c r="C121" s="89" t="s">
        <v>257</v>
      </c>
      <c r="D121" s="53" t="s">
        <v>45</v>
      </c>
      <c r="E121" s="71">
        <v>311.83</v>
      </c>
      <c r="F121" s="72">
        <v>153.97</v>
      </c>
      <c r="G121" s="107">
        <f t="shared" si="32"/>
        <v>48012.47</v>
      </c>
      <c r="H121" s="74">
        <f t="shared" si="33"/>
        <v>277.02999999999997</v>
      </c>
      <c r="I121" s="73">
        <f t="shared" si="34"/>
        <v>42654.31</v>
      </c>
      <c r="J121" s="181">
        <v>7.8</v>
      </c>
      <c r="K121" s="75">
        <f t="shared" si="35"/>
        <v>1200.97</v>
      </c>
      <c r="L121" s="76">
        <f t="shared" si="36"/>
        <v>34.800000000000011</v>
      </c>
      <c r="M121" s="73">
        <f t="shared" si="37"/>
        <v>5358.16</v>
      </c>
      <c r="N121" s="86">
        <f t="shared" si="38"/>
        <v>0.88840065924540013</v>
      </c>
      <c r="O121" s="8"/>
      <c r="P121" s="9">
        <f t="shared" si="31"/>
        <v>269.22999999999996</v>
      </c>
      <c r="Q121" s="9"/>
      <c r="R121" s="9"/>
      <c r="S121" s="9"/>
      <c r="T121" s="9"/>
      <c r="U121" s="9"/>
      <c r="V121" s="9">
        <v>24</v>
      </c>
      <c r="W121" s="9"/>
      <c r="X121" s="9"/>
      <c r="Y121" s="9"/>
      <c r="Z121" s="10">
        <v>61.33</v>
      </c>
      <c r="AA121" s="9"/>
      <c r="AB121" s="9"/>
      <c r="AC121" s="9">
        <v>22.5</v>
      </c>
      <c r="AD121" s="9"/>
      <c r="AE121" s="9"/>
      <c r="AF121" s="9">
        <v>40.5</v>
      </c>
      <c r="AG121" s="9"/>
      <c r="AH121" s="9">
        <v>94.5</v>
      </c>
      <c r="AI121" s="10">
        <v>8.6999999999999993</v>
      </c>
      <c r="AL121" s="205"/>
      <c r="AM121" s="205"/>
      <c r="AN121" s="205">
        <v>17.7</v>
      </c>
    </row>
    <row r="122" spans="1:40" s="10" customFormat="1" ht="39.950000000000003" customHeight="1" x14ac:dyDescent="0.25">
      <c r="A122" s="98">
        <v>1</v>
      </c>
      <c r="B122" s="70" t="s">
        <v>258</v>
      </c>
      <c r="C122" s="69" t="s">
        <v>259</v>
      </c>
      <c r="D122" s="70" t="s">
        <v>45</v>
      </c>
      <c r="E122" s="78">
        <v>84.79</v>
      </c>
      <c r="F122" s="72">
        <v>258.39999999999998</v>
      </c>
      <c r="G122" s="108">
        <f t="shared" si="32"/>
        <v>21909.74</v>
      </c>
      <c r="H122" s="99">
        <f t="shared" si="33"/>
        <v>82.61</v>
      </c>
      <c r="I122" s="77">
        <f t="shared" si="34"/>
        <v>21346.42</v>
      </c>
      <c r="J122" s="184"/>
      <c r="K122" s="75">
        <f t="shared" si="35"/>
        <v>0</v>
      </c>
      <c r="L122" s="100">
        <f t="shared" si="36"/>
        <v>2.1800000000000068</v>
      </c>
      <c r="M122" s="73">
        <f t="shared" si="37"/>
        <v>563.32000000000005</v>
      </c>
      <c r="N122" s="86">
        <f t="shared" si="38"/>
        <v>0.97428906048177644</v>
      </c>
      <c r="O122" s="8"/>
      <c r="P122" s="9">
        <f t="shared" si="31"/>
        <v>82.61</v>
      </c>
      <c r="Q122" s="9"/>
      <c r="R122" s="9"/>
      <c r="S122" s="9"/>
      <c r="T122" s="9"/>
      <c r="U122" s="9"/>
      <c r="V122" s="9"/>
      <c r="W122" s="9">
        <v>29.89</v>
      </c>
      <c r="X122" s="9"/>
      <c r="Y122" s="9"/>
      <c r="Z122" s="10">
        <v>14.11</v>
      </c>
      <c r="AA122" s="9"/>
      <c r="AB122" s="9"/>
      <c r="AC122" s="9"/>
      <c r="AD122" s="9"/>
      <c r="AE122" s="9"/>
      <c r="AF122" s="9">
        <v>23.11</v>
      </c>
      <c r="AG122" s="9"/>
      <c r="AH122" s="9"/>
      <c r="AI122" s="10">
        <v>12</v>
      </c>
      <c r="AL122" s="202">
        <v>3.5</v>
      </c>
      <c r="AM122" s="202"/>
      <c r="AN122" s="202"/>
    </row>
    <row r="123" spans="1:40" s="10" customFormat="1" ht="39.950000000000003" customHeight="1" x14ac:dyDescent="0.25">
      <c r="A123" s="98">
        <v>1</v>
      </c>
      <c r="B123" s="70" t="s">
        <v>260</v>
      </c>
      <c r="C123" s="69" t="s">
        <v>261</v>
      </c>
      <c r="D123" s="70" t="s">
        <v>45</v>
      </c>
      <c r="E123" s="78">
        <v>71.16</v>
      </c>
      <c r="F123" s="72">
        <v>354.21</v>
      </c>
      <c r="G123" s="108">
        <f t="shared" si="32"/>
        <v>25205.58</v>
      </c>
      <c r="H123" s="99">
        <f t="shared" si="33"/>
        <v>71.16</v>
      </c>
      <c r="I123" s="77">
        <f t="shared" si="34"/>
        <v>25205.58</v>
      </c>
      <c r="J123" s="179">
        <v>2</v>
      </c>
      <c r="K123" s="75">
        <f t="shared" si="35"/>
        <v>708.42</v>
      </c>
      <c r="L123" s="100">
        <f t="shared" si="36"/>
        <v>0</v>
      </c>
      <c r="M123" s="73">
        <f t="shared" si="37"/>
        <v>0</v>
      </c>
      <c r="N123" s="86">
        <f t="shared" si="38"/>
        <v>1</v>
      </c>
      <c r="O123" s="8"/>
      <c r="P123" s="9">
        <f t="shared" si="31"/>
        <v>69.16</v>
      </c>
      <c r="Q123" s="9"/>
      <c r="R123" s="9"/>
      <c r="S123" s="9"/>
      <c r="T123" s="9"/>
      <c r="U123" s="9"/>
      <c r="V123" s="9"/>
      <c r="W123" s="9">
        <v>19.98</v>
      </c>
      <c r="X123" s="9">
        <v>8.02</v>
      </c>
      <c r="Y123" s="9"/>
      <c r="AA123" s="9"/>
      <c r="AB123" s="9"/>
      <c r="AC123" s="9"/>
      <c r="AD123" s="9"/>
      <c r="AE123" s="9"/>
      <c r="AF123" s="9">
        <v>16.16</v>
      </c>
      <c r="AG123" s="9"/>
      <c r="AH123" s="9">
        <v>12</v>
      </c>
      <c r="AI123" s="10">
        <v>13</v>
      </c>
      <c r="AL123" s="205"/>
      <c r="AM123" s="205"/>
      <c r="AN123" s="205"/>
    </row>
    <row r="124" spans="1:40" s="10" customFormat="1" ht="39.950000000000003" hidden="1" customHeight="1" x14ac:dyDescent="0.25">
      <c r="A124" s="226">
        <v>1</v>
      </c>
      <c r="B124" s="239" t="s">
        <v>262</v>
      </c>
      <c r="C124" s="238" t="s">
        <v>263</v>
      </c>
      <c r="D124" s="239" t="s">
        <v>45</v>
      </c>
      <c r="E124" s="229">
        <v>0</v>
      </c>
      <c r="F124" s="240">
        <v>821.25</v>
      </c>
      <c r="G124" s="256">
        <f t="shared" si="32"/>
        <v>0</v>
      </c>
      <c r="H124" s="232">
        <f t="shared" si="33"/>
        <v>0</v>
      </c>
      <c r="I124" s="244">
        <f t="shared" si="34"/>
        <v>0</v>
      </c>
      <c r="J124" s="250"/>
      <c r="K124" s="254">
        <f t="shared" si="35"/>
        <v>0</v>
      </c>
      <c r="L124" s="235">
        <f t="shared" si="36"/>
        <v>0</v>
      </c>
      <c r="M124" s="231">
        <f t="shared" si="37"/>
        <v>0</v>
      </c>
      <c r="N124" s="237">
        <v>0</v>
      </c>
      <c r="O124" s="8"/>
      <c r="P124" s="9">
        <f t="shared" si="31"/>
        <v>0</v>
      </c>
      <c r="Q124" s="9"/>
      <c r="R124" s="9"/>
      <c r="S124" s="9"/>
      <c r="T124" s="9"/>
      <c r="U124" s="9"/>
      <c r="V124" s="9"/>
      <c r="W124" s="9"/>
      <c r="X124" s="9"/>
      <c r="Y124" s="9"/>
      <c r="AA124" s="9"/>
      <c r="AB124" s="9"/>
      <c r="AC124" s="9"/>
      <c r="AD124" s="9"/>
      <c r="AE124" s="9"/>
      <c r="AF124" s="9"/>
      <c r="AG124" s="9"/>
      <c r="AH124" s="9"/>
      <c r="AL124" s="211"/>
      <c r="AM124" s="211"/>
      <c r="AN124" s="211"/>
    </row>
    <row r="125" spans="1:40" s="10" customFormat="1" ht="39.950000000000003" customHeight="1" x14ac:dyDescent="0.25">
      <c r="A125" s="55">
        <v>1</v>
      </c>
      <c r="B125" s="53" t="s">
        <v>264</v>
      </c>
      <c r="C125" s="109" t="s">
        <v>265</v>
      </c>
      <c r="D125" s="110" t="s">
        <v>93</v>
      </c>
      <c r="E125" s="111">
        <v>2.91</v>
      </c>
      <c r="F125" s="72">
        <v>41.72</v>
      </c>
      <c r="G125" s="107">
        <f t="shared" si="32"/>
        <v>121.41</v>
      </c>
      <c r="H125" s="74">
        <f t="shared" si="33"/>
        <v>2.91</v>
      </c>
      <c r="I125" s="73">
        <f t="shared" si="34"/>
        <v>121.41</v>
      </c>
      <c r="J125" s="180"/>
      <c r="K125" s="75">
        <f t="shared" si="35"/>
        <v>0</v>
      </c>
      <c r="L125" s="76">
        <f t="shared" si="36"/>
        <v>0</v>
      </c>
      <c r="M125" s="73">
        <f t="shared" si="37"/>
        <v>0</v>
      </c>
      <c r="N125" s="86">
        <f t="shared" ref="N125:N144" si="39">IF(G125=0,"",I125/G125)</f>
        <v>1</v>
      </c>
      <c r="O125" s="8"/>
      <c r="P125" s="9">
        <f t="shared" si="31"/>
        <v>2.91</v>
      </c>
      <c r="Q125" s="9"/>
      <c r="R125" s="9"/>
      <c r="S125" s="9"/>
      <c r="T125" s="9"/>
      <c r="U125" s="9"/>
      <c r="V125" s="9"/>
      <c r="W125" s="9">
        <v>1.76</v>
      </c>
      <c r="X125" s="9"/>
      <c r="Y125" s="9"/>
      <c r="AA125" s="9"/>
      <c r="AB125" s="9"/>
      <c r="AC125" s="9"/>
      <c r="AD125" s="9"/>
      <c r="AE125" s="9"/>
      <c r="AF125" s="9"/>
      <c r="AG125" s="9"/>
      <c r="AH125" s="9"/>
      <c r="AI125" s="10">
        <v>1.1499999999999999</v>
      </c>
      <c r="AL125" s="206"/>
      <c r="AM125" s="206"/>
      <c r="AN125" s="206"/>
    </row>
    <row r="126" spans="1:40" s="10" customFormat="1" ht="45.75" customHeight="1" x14ac:dyDescent="0.25">
      <c r="A126" s="55">
        <v>1</v>
      </c>
      <c r="B126" s="53" t="s">
        <v>266</v>
      </c>
      <c r="C126" s="109" t="s">
        <v>267</v>
      </c>
      <c r="D126" s="110" t="s">
        <v>93</v>
      </c>
      <c r="E126" s="111">
        <v>18.350000000000001</v>
      </c>
      <c r="F126" s="72">
        <v>318.11</v>
      </c>
      <c r="G126" s="107">
        <f t="shared" si="32"/>
        <v>5837.32</v>
      </c>
      <c r="H126" s="74">
        <f t="shared" si="33"/>
        <v>18.350000000000001</v>
      </c>
      <c r="I126" s="73">
        <f t="shared" si="34"/>
        <v>5837.32</v>
      </c>
      <c r="J126" s="180"/>
      <c r="K126" s="75">
        <f t="shared" si="35"/>
        <v>0</v>
      </c>
      <c r="L126" s="76">
        <f t="shared" si="36"/>
        <v>0</v>
      </c>
      <c r="M126" s="73">
        <f t="shared" si="37"/>
        <v>0</v>
      </c>
      <c r="N126" s="86">
        <f t="shared" si="39"/>
        <v>1</v>
      </c>
      <c r="O126" s="8"/>
      <c r="P126" s="9">
        <f t="shared" si="31"/>
        <v>18.350000000000001</v>
      </c>
      <c r="Q126" s="9"/>
      <c r="R126" s="9"/>
      <c r="S126" s="9"/>
      <c r="T126" s="9"/>
      <c r="U126" s="9"/>
      <c r="V126" s="9"/>
      <c r="W126" s="9">
        <v>0.1</v>
      </c>
      <c r="X126" s="9"/>
      <c r="Y126" s="9"/>
      <c r="AA126" s="9"/>
      <c r="AB126" s="9"/>
      <c r="AC126" s="9"/>
      <c r="AD126" s="9"/>
      <c r="AE126" s="9"/>
      <c r="AF126" s="9"/>
      <c r="AG126" s="9"/>
      <c r="AH126" s="9"/>
      <c r="AI126" s="10">
        <v>18.25</v>
      </c>
      <c r="AL126" s="206"/>
      <c r="AM126" s="206"/>
      <c r="AN126" s="206"/>
    </row>
    <row r="127" spans="1:40" s="10" customFormat="1" ht="50.25" customHeight="1" x14ac:dyDescent="0.25">
      <c r="A127" s="55">
        <v>1</v>
      </c>
      <c r="B127" s="53" t="s">
        <v>268</v>
      </c>
      <c r="C127" s="109" t="s">
        <v>269</v>
      </c>
      <c r="D127" s="110" t="s">
        <v>71</v>
      </c>
      <c r="E127" s="111">
        <v>139.68</v>
      </c>
      <c r="F127" s="72">
        <v>258.37</v>
      </c>
      <c r="G127" s="107">
        <f t="shared" si="32"/>
        <v>36089.120000000003</v>
      </c>
      <c r="H127" s="74">
        <f t="shared" si="33"/>
        <v>139.67999999999998</v>
      </c>
      <c r="I127" s="73">
        <f t="shared" si="34"/>
        <v>36089.120000000003</v>
      </c>
      <c r="J127" s="180"/>
      <c r="K127" s="75">
        <f t="shared" si="35"/>
        <v>0</v>
      </c>
      <c r="L127" s="76">
        <f t="shared" si="36"/>
        <v>0</v>
      </c>
      <c r="M127" s="73">
        <f t="shared" si="37"/>
        <v>0</v>
      </c>
      <c r="N127" s="86">
        <f t="shared" si="39"/>
        <v>1</v>
      </c>
      <c r="O127" s="8"/>
      <c r="P127" s="9">
        <f t="shared" si="31"/>
        <v>139.67999999999998</v>
      </c>
      <c r="Q127" s="9"/>
      <c r="R127" s="9"/>
      <c r="S127" s="9"/>
      <c r="T127" s="9"/>
      <c r="U127" s="9"/>
      <c r="V127" s="9"/>
      <c r="W127" s="9">
        <v>1.76</v>
      </c>
      <c r="X127" s="9"/>
      <c r="Y127" s="9"/>
      <c r="AA127" s="9"/>
      <c r="AB127" s="9"/>
      <c r="AC127" s="9"/>
      <c r="AD127" s="9"/>
      <c r="AE127" s="9"/>
      <c r="AF127" s="9"/>
      <c r="AG127" s="9"/>
      <c r="AH127" s="9"/>
      <c r="AI127" s="10">
        <v>137.91999999999999</v>
      </c>
      <c r="AL127" s="206"/>
      <c r="AM127" s="206"/>
      <c r="AN127" s="206"/>
    </row>
    <row r="128" spans="1:40" s="10" customFormat="1" ht="39.950000000000003" customHeight="1" x14ac:dyDescent="0.25">
      <c r="A128" s="55">
        <v>1</v>
      </c>
      <c r="B128" s="53" t="s">
        <v>270</v>
      </c>
      <c r="C128" s="109" t="s">
        <v>271</v>
      </c>
      <c r="D128" s="110" t="s">
        <v>71</v>
      </c>
      <c r="E128" s="111">
        <v>8.11</v>
      </c>
      <c r="F128" s="72">
        <v>159.01</v>
      </c>
      <c r="G128" s="107">
        <f t="shared" si="32"/>
        <v>1289.57</v>
      </c>
      <c r="H128" s="74">
        <f t="shared" si="33"/>
        <v>8.11</v>
      </c>
      <c r="I128" s="73">
        <f t="shared" si="34"/>
        <v>1289.57</v>
      </c>
      <c r="J128" s="180"/>
      <c r="K128" s="75">
        <f t="shared" si="35"/>
        <v>0</v>
      </c>
      <c r="L128" s="76">
        <f t="shared" si="36"/>
        <v>0</v>
      </c>
      <c r="M128" s="73">
        <f t="shared" si="37"/>
        <v>0</v>
      </c>
      <c r="N128" s="86">
        <f t="shared" si="39"/>
        <v>1</v>
      </c>
      <c r="O128" s="8"/>
      <c r="P128" s="9">
        <f t="shared" si="31"/>
        <v>8.11</v>
      </c>
      <c r="Q128" s="9"/>
      <c r="R128" s="9"/>
      <c r="S128" s="9"/>
      <c r="T128" s="9"/>
      <c r="U128" s="9"/>
      <c r="V128" s="9"/>
      <c r="W128" s="9">
        <v>1</v>
      </c>
      <c r="X128" s="9"/>
      <c r="Y128" s="9"/>
      <c r="AA128" s="9"/>
      <c r="AB128" s="9"/>
      <c r="AC128" s="9"/>
      <c r="AD128" s="9"/>
      <c r="AE128" s="9"/>
      <c r="AF128" s="9"/>
      <c r="AG128" s="9"/>
      <c r="AH128" s="9"/>
      <c r="AI128" s="10">
        <v>0.18</v>
      </c>
      <c r="AJ128" s="10">
        <v>6.93</v>
      </c>
      <c r="AL128" s="206"/>
      <c r="AM128" s="206"/>
      <c r="AN128" s="206"/>
    </row>
    <row r="129" spans="1:40" s="10" customFormat="1" ht="39.950000000000003" customHeight="1" x14ac:dyDescent="0.25">
      <c r="A129" s="55">
        <v>1</v>
      </c>
      <c r="B129" s="53" t="s">
        <v>272</v>
      </c>
      <c r="C129" s="109" t="s">
        <v>273</v>
      </c>
      <c r="D129" s="110" t="s">
        <v>45</v>
      </c>
      <c r="E129" s="111">
        <v>15</v>
      </c>
      <c r="F129" s="72">
        <v>3538.11</v>
      </c>
      <c r="G129" s="107">
        <f t="shared" si="32"/>
        <v>53071.65</v>
      </c>
      <c r="H129" s="74">
        <f t="shared" si="33"/>
        <v>14.85</v>
      </c>
      <c r="I129" s="73">
        <f t="shared" si="34"/>
        <v>52540.93</v>
      </c>
      <c r="J129" s="180"/>
      <c r="K129" s="75">
        <f t="shared" si="35"/>
        <v>0</v>
      </c>
      <c r="L129" s="76">
        <f t="shared" si="36"/>
        <v>0.15000000000000036</v>
      </c>
      <c r="M129" s="73">
        <f t="shared" si="37"/>
        <v>530.72</v>
      </c>
      <c r="N129" s="86">
        <f t="shared" si="39"/>
        <v>0.98999993405141917</v>
      </c>
      <c r="O129" s="8"/>
      <c r="P129" s="9">
        <f t="shared" si="31"/>
        <v>14.85</v>
      </c>
      <c r="Q129" s="9"/>
      <c r="R129" s="9"/>
      <c r="S129" s="9"/>
      <c r="T129" s="9"/>
      <c r="U129" s="9"/>
      <c r="V129" s="9"/>
      <c r="W129" s="9"/>
      <c r="X129" s="9"/>
      <c r="Y129" s="9">
        <v>6.5</v>
      </c>
      <c r="Z129" s="10">
        <v>2.2000000000000002</v>
      </c>
      <c r="AA129" s="9"/>
      <c r="AB129" s="9">
        <v>1</v>
      </c>
      <c r="AC129" s="9">
        <v>7.0000000000000007E-2</v>
      </c>
      <c r="AD129" s="9">
        <v>3.9</v>
      </c>
      <c r="AE129" s="9"/>
      <c r="AF129" s="9">
        <v>0.03</v>
      </c>
      <c r="AG129" s="9"/>
      <c r="AH129" s="9"/>
      <c r="AL129" s="206"/>
      <c r="AM129" s="206"/>
      <c r="AN129" s="206">
        <v>1.1499999999999999</v>
      </c>
    </row>
    <row r="130" spans="1:40" s="10" customFormat="1" ht="39.950000000000003" customHeight="1" x14ac:dyDescent="0.25">
      <c r="A130" s="55">
        <v>1</v>
      </c>
      <c r="B130" s="53" t="s">
        <v>274</v>
      </c>
      <c r="C130" s="109" t="s">
        <v>275</v>
      </c>
      <c r="D130" s="110" t="s">
        <v>45</v>
      </c>
      <c r="E130" s="111">
        <v>15</v>
      </c>
      <c r="F130" s="72">
        <v>2860.55</v>
      </c>
      <c r="G130" s="107">
        <f t="shared" si="32"/>
        <v>42908.25</v>
      </c>
      <c r="H130" s="74">
        <f t="shared" si="33"/>
        <v>13.459999999999999</v>
      </c>
      <c r="I130" s="73">
        <f t="shared" si="34"/>
        <v>38503</v>
      </c>
      <c r="J130" s="181">
        <v>1.1100000000000001</v>
      </c>
      <c r="K130" s="75">
        <f t="shared" si="35"/>
        <v>3175.21</v>
      </c>
      <c r="L130" s="76">
        <f t="shared" si="36"/>
        <v>1.5400000000000009</v>
      </c>
      <c r="M130" s="73">
        <f t="shared" si="37"/>
        <v>4405.25</v>
      </c>
      <c r="N130" s="86">
        <f t="shared" si="39"/>
        <v>0.89733326341670894</v>
      </c>
      <c r="O130" s="8"/>
      <c r="P130" s="9">
        <f t="shared" si="31"/>
        <v>12.35</v>
      </c>
      <c r="Q130" s="9"/>
      <c r="R130" s="9"/>
      <c r="S130" s="9"/>
      <c r="T130" s="9"/>
      <c r="U130" s="9"/>
      <c r="V130" s="9"/>
      <c r="W130" s="9">
        <v>2.2999999999999998</v>
      </c>
      <c r="X130" s="9"/>
      <c r="Y130" s="9"/>
      <c r="Z130" s="10">
        <v>4.9000000000000004</v>
      </c>
      <c r="AA130" s="9"/>
      <c r="AB130" s="9"/>
      <c r="AC130" s="9"/>
      <c r="AD130" s="9"/>
      <c r="AE130" s="9"/>
      <c r="AF130" s="9">
        <v>3.2</v>
      </c>
      <c r="AG130" s="9"/>
      <c r="AH130" s="9"/>
      <c r="AL130" s="206"/>
      <c r="AM130" s="206"/>
      <c r="AN130" s="206">
        <v>1.95</v>
      </c>
    </row>
    <row r="131" spans="1:40" s="10" customFormat="1" ht="39.950000000000003" customHeight="1" x14ac:dyDescent="0.25">
      <c r="A131" s="55">
        <v>1</v>
      </c>
      <c r="B131" s="53" t="s">
        <v>276</v>
      </c>
      <c r="C131" s="109" t="s">
        <v>277</v>
      </c>
      <c r="D131" s="110" t="s">
        <v>45</v>
      </c>
      <c r="E131" s="111">
        <v>15</v>
      </c>
      <c r="F131" s="72">
        <v>3510.31</v>
      </c>
      <c r="G131" s="107">
        <f t="shared" si="32"/>
        <v>52654.65</v>
      </c>
      <c r="H131" s="74">
        <f t="shared" si="33"/>
        <v>13.05</v>
      </c>
      <c r="I131" s="73">
        <f t="shared" si="34"/>
        <v>45809.55</v>
      </c>
      <c r="J131" s="181"/>
      <c r="K131" s="75">
        <f t="shared" si="35"/>
        <v>0</v>
      </c>
      <c r="L131" s="76">
        <f t="shared" si="36"/>
        <v>1.9499999999999993</v>
      </c>
      <c r="M131" s="73">
        <f t="shared" si="37"/>
        <v>6845.1</v>
      </c>
      <c r="N131" s="86">
        <f t="shared" si="39"/>
        <v>0.87000008546253749</v>
      </c>
      <c r="O131" s="8"/>
      <c r="P131" s="9">
        <f t="shared" si="31"/>
        <v>13.05</v>
      </c>
      <c r="Q131" s="9"/>
      <c r="R131" s="9"/>
      <c r="S131" s="9"/>
      <c r="T131" s="9"/>
      <c r="U131" s="9"/>
      <c r="V131" s="9"/>
      <c r="W131" s="9"/>
      <c r="X131" s="9"/>
      <c r="Y131" s="9"/>
      <c r="Z131" s="10">
        <v>2.2000000000000002</v>
      </c>
      <c r="AA131" s="9"/>
      <c r="AB131" s="9"/>
      <c r="AC131" s="9">
        <v>0.3</v>
      </c>
      <c r="AD131" s="9"/>
      <c r="AE131" s="9"/>
      <c r="AF131" s="9">
        <v>4.45</v>
      </c>
      <c r="AG131" s="9"/>
      <c r="AH131" s="9">
        <v>4.5999999999999996</v>
      </c>
      <c r="AL131" s="202">
        <v>1.5</v>
      </c>
      <c r="AM131" s="202"/>
      <c r="AN131" s="202"/>
    </row>
    <row r="132" spans="1:40" s="10" customFormat="1" ht="39.950000000000003" hidden="1" customHeight="1" x14ac:dyDescent="0.25">
      <c r="A132" s="226">
        <v>1</v>
      </c>
      <c r="B132" s="239" t="s">
        <v>278</v>
      </c>
      <c r="C132" s="257" t="s">
        <v>279</v>
      </c>
      <c r="D132" s="258" t="s">
        <v>45</v>
      </c>
      <c r="E132" s="259">
        <v>0</v>
      </c>
      <c r="F132" s="240">
        <v>4466.3900000000003</v>
      </c>
      <c r="G132" s="256">
        <f t="shared" si="32"/>
        <v>0</v>
      </c>
      <c r="H132" s="232">
        <f t="shared" si="33"/>
        <v>0</v>
      </c>
      <c r="I132" s="231">
        <f t="shared" si="34"/>
        <v>0</v>
      </c>
      <c r="J132" s="250"/>
      <c r="K132" s="234">
        <f t="shared" si="35"/>
        <v>0</v>
      </c>
      <c r="L132" s="235">
        <f t="shared" si="36"/>
        <v>0</v>
      </c>
      <c r="M132" s="231">
        <f t="shared" si="37"/>
        <v>0</v>
      </c>
      <c r="N132" s="237" t="str">
        <f t="shared" si="39"/>
        <v/>
      </c>
      <c r="O132" s="8"/>
      <c r="P132" s="9">
        <f t="shared" si="31"/>
        <v>0</v>
      </c>
      <c r="Q132" s="9"/>
      <c r="R132" s="9"/>
      <c r="S132" s="9"/>
      <c r="T132" s="9"/>
      <c r="U132" s="9"/>
      <c r="V132" s="9"/>
      <c r="W132" s="9"/>
      <c r="X132" s="9"/>
      <c r="Y132" s="9"/>
      <c r="AA132" s="9"/>
      <c r="AB132" s="9"/>
      <c r="AC132" s="9"/>
      <c r="AD132" s="9"/>
      <c r="AE132" s="9"/>
      <c r="AF132" s="9"/>
      <c r="AG132" s="9"/>
      <c r="AH132" s="9"/>
      <c r="AL132" s="208"/>
      <c r="AM132" s="208"/>
      <c r="AN132" s="208"/>
    </row>
    <row r="133" spans="1:40" s="10" customFormat="1" ht="39.950000000000003" customHeight="1" x14ac:dyDescent="0.25">
      <c r="A133" s="55">
        <v>1</v>
      </c>
      <c r="B133" s="53" t="s">
        <v>280</v>
      </c>
      <c r="C133" s="89" t="s">
        <v>281</v>
      </c>
      <c r="D133" s="53" t="s">
        <v>45</v>
      </c>
      <c r="E133" s="71">
        <v>50</v>
      </c>
      <c r="F133" s="72">
        <v>686.36</v>
      </c>
      <c r="G133" s="107">
        <f t="shared" si="32"/>
        <v>34318</v>
      </c>
      <c r="H133" s="74">
        <f t="shared" si="33"/>
        <v>26.169999999999998</v>
      </c>
      <c r="I133" s="73">
        <f t="shared" si="34"/>
        <v>17962.04</v>
      </c>
      <c r="J133" s="181"/>
      <c r="K133" s="75">
        <f t="shared" si="35"/>
        <v>0</v>
      </c>
      <c r="L133" s="76">
        <f t="shared" si="36"/>
        <v>23.830000000000002</v>
      </c>
      <c r="M133" s="73">
        <f t="shared" si="37"/>
        <v>16355.96</v>
      </c>
      <c r="N133" s="86">
        <f t="shared" si="39"/>
        <v>0.52339996503292741</v>
      </c>
      <c r="O133" s="8"/>
      <c r="P133" s="9">
        <f t="shared" si="31"/>
        <v>26.169999999999998</v>
      </c>
      <c r="Q133" s="9"/>
      <c r="R133" s="9"/>
      <c r="S133" s="9"/>
      <c r="T133" s="9"/>
      <c r="U133" s="9"/>
      <c r="V133" s="9"/>
      <c r="W133" s="9"/>
      <c r="X133" s="9"/>
      <c r="Y133" s="9">
        <v>4.4000000000000004</v>
      </c>
      <c r="AA133" s="9"/>
      <c r="AB133" s="9"/>
      <c r="AC133" s="9">
        <v>17.61</v>
      </c>
      <c r="AD133" s="9">
        <v>1.55</v>
      </c>
      <c r="AE133" s="9"/>
      <c r="AF133" s="9">
        <v>1.34</v>
      </c>
      <c r="AG133" s="9"/>
      <c r="AH133" s="9"/>
      <c r="AI133" s="10">
        <v>0.5</v>
      </c>
      <c r="AL133" s="202">
        <v>0.77</v>
      </c>
      <c r="AM133" s="202"/>
      <c r="AN133" s="202"/>
    </row>
    <row r="134" spans="1:40" s="10" customFormat="1" ht="54" x14ac:dyDescent="0.25">
      <c r="A134" s="55">
        <v>1</v>
      </c>
      <c r="B134" s="53" t="s">
        <v>282</v>
      </c>
      <c r="C134" s="69" t="s">
        <v>283</v>
      </c>
      <c r="D134" s="70" t="s">
        <v>284</v>
      </c>
      <c r="E134" s="71">
        <v>30</v>
      </c>
      <c r="F134" s="72">
        <v>299.64999999999998</v>
      </c>
      <c r="G134" s="107">
        <f t="shared" si="32"/>
        <v>8989.5</v>
      </c>
      <c r="H134" s="74">
        <f t="shared" si="33"/>
        <v>27</v>
      </c>
      <c r="I134" s="73">
        <f t="shared" si="34"/>
        <v>8090.55</v>
      </c>
      <c r="J134" s="180"/>
      <c r="K134" s="75">
        <f t="shared" si="35"/>
        <v>0</v>
      </c>
      <c r="L134" s="76">
        <f t="shared" si="36"/>
        <v>3</v>
      </c>
      <c r="M134" s="73">
        <f t="shared" si="37"/>
        <v>898.95</v>
      </c>
      <c r="N134" s="86">
        <f t="shared" si="39"/>
        <v>0.9</v>
      </c>
      <c r="O134" s="8"/>
      <c r="P134" s="9">
        <f t="shared" si="31"/>
        <v>27</v>
      </c>
      <c r="Q134" s="9"/>
      <c r="R134" s="9"/>
      <c r="S134" s="9"/>
      <c r="T134" s="9"/>
      <c r="U134" s="9"/>
      <c r="V134" s="9"/>
      <c r="W134" s="9">
        <v>4</v>
      </c>
      <c r="X134" s="9"/>
      <c r="Y134" s="9">
        <v>4</v>
      </c>
      <c r="AA134" s="9"/>
      <c r="AB134" s="9"/>
      <c r="AC134" s="9">
        <v>10</v>
      </c>
      <c r="AD134" s="9">
        <v>3</v>
      </c>
      <c r="AE134" s="9"/>
      <c r="AF134" s="9"/>
      <c r="AG134" s="9"/>
      <c r="AH134" s="9"/>
      <c r="AI134" s="10">
        <v>4</v>
      </c>
      <c r="AJ134" s="10">
        <v>2</v>
      </c>
      <c r="AL134" s="206"/>
      <c r="AM134" s="206"/>
      <c r="AN134" s="206"/>
    </row>
    <row r="135" spans="1:40" s="10" customFormat="1" ht="45" customHeight="1" x14ac:dyDescent="0.25">
      <c r="A135" s="55">
        <v>1</v>
      </c>
      <c r="B135" s="53" t="s">
        <v>285</v>
      </c>
      <c r="C135" s="89" t="s">
        <v>286</v>
      </c>
      <c r="D135" s="53" t="s">
        <v>284</v>
      </c>
      <c r="E135" s="71">
        <v>30</v>
      </c>
      <c r="F135" s="72">
        <v>90.85</v>
      </c>
      <c r="G135" s="107">
        <f t="shared" si="32"/>
        <v>2725.5</v>
      </c>
      <c r="H135" s="74">
        <f t="shared" si="33"/>
        <v>27</v>
      </c>
      <c r="I135" s="73">
        <f t="shared" si="34"/>
        <v>2452.9499999999998</v>
      </c>
      <c r="J135" s="180"/>
      <c r="K135" s="75">
        <f t="shared" si="35"/>
        <v>0</v>
      </c>
      <c r="L135" s="76">
        <f t="shared" si="36"/>
        <v>3</v>
      </c>
      <c r="M135" s="73">
        <f t="shared" si="37"/>
        <v>272.55</v>
      </c>
      <c r="N135" s="86">
        <f t="shared" si="39"/>
        <v>0.89999999999999991</v>
      </c>
      <c r="O135" s="8"/>
      <c r="P135" s="9">
        <f t="shared" si="31"/>
        <v>27</v>
      </c>
      <c r="Q135" s="9"/>
      <c r="R135" s="9"/>
      <c r="S135" s="9"/>
      <c r="T135" s="9"/>
      <c r="U135" s="9"/>
      <c r="V135" s="9"/>
      <c r="W135" s="9">
        <v>4</v>
      </c>
      <c r="X135" s="9"/>
      <c r="Y135" s="9">
        <v>4</v>
      </c>
      <c r="AA135" s="9"/>
      <c r="AB135" s="9"/>
      <c r="AC135" s="9">
        <v>10</v>
      </c>
      <c r="AD135" s="9">
        <v>3</v>
      </c>
      <c r="AE135" s="9"/>
      <c r="AF135" s="9"/>
      <c r="AG135" s="9"/>
      <c r="AH135" s="9"/>
      <c r="AI135" s="10">
        <v>4</v>
      </c>
      <c r="AJ135" s="10">
        <v>2</v>
      </c>
      <c r="AL135" s="206"/>
      <c r="AM135" s="206"/>
      <c r="AN135" s="206"/>
    </row>
    <row r="136" spans="1:40" s="10" customFormat="1" ht="39.950000000000003" customHeight="1" x14ac:dyDescent="0.25">
      <c r="A136" s="55">
        <v>1</v>
      </c>
      <c r="B136" s="53" t="s">
        <v>287</v>
      </c>
      <c r="C136" s="89" t="s">
        <v>288</v>
      </c>
      <c r="D136" s="53" t="s">
        <v>284</v>
      </c>
      <c r="E136" s="71">
        <v>18</v>
      </c>
      <c r="F136" s="72">
        <v>1296.08</v>
      </c>
      <c r="G136" s="107">
        <f t="shared" si="32"/>
        <v>23329.439999999999</v>
      </c>
      <c r="H136" s="74">
        <f t="shared" si="33"/>
        <v>18</v>
      </c>
      <c r="I136" s="73">
        <f t="shared" si="34"/>
        <v>23329.439999999999</v>
      </c>
      <c r="J136" s="181"/>
      <c r="K136" s="75">
        <f t="shared" si="35"/>
        <v>0</v>
      </c>
      <c r="L136" s="76">
        <f t="shared" si="36"/>
        <v>0</v>
      </c>
      <c r="M136" s="73">
        <f t="shared" si="37"/>
        <v>0</v>
      </c>
      <c r="N136" s="86">
        <f t="shared" si="39"/>
        <v>1</v>
      </c>
      <c r="O136" s="8"/>
      <c r="P136" s="9">
        <f t="shared" si="31"/>
        <v>18</v>
      </c>
      <c r="Q136" s="9"/>
      <c r="R136" s="9"/>
      <c r="S136" s="9"/>
      <c r="T136" s="9"/>
      <c r="U136" s="9"/>
      <c r="V136" s="9"/>
      <c r="W136" s="9"/>
      <c r="X136" s="9"/>
      <c r="Y136" s="9">
        <v>2</v>
      </c>
      <c r="Z136" s="10">
        <v>3</v>
      </c>
      <c r="AA136" s="9"/>
      <c r="AB136" s="9">
        <v>2</v>
      </c>
      <c r="AC136" s="9">
        <v>3</v>
      </c>
      <c r="AD136" s="9"/>
      <c r="AE136" s="9"/>
      <c r="AF136" s="9">
        <v>1</v>
      </c>
      <c r="AG136" s="9"/>
      <c r="AH136" s="9"/>
      <c r="AI136" s="10">
        <v>1</v>
      </c>
      <c r="AJ136" s="10">
        <v>2</v>
      </c>
      <c r="AL136" s="202">
        <v>4</v>
      </c>
      <c r="AM136" s="202"/>
      <c r="AN136" s="202"/>
    </row>
    <row r="137" spans="1:40" s="10" customFormat="1" ht="39.950000000000003" customHeight="1" x14ac:dyDescent="0.25">
      <c r="A137" s="55">
        <v>1</v>
      </c>
      <c r="B137" s="53" t="s">
        <v>289</v>
      </c>
      <c r="C137" s="89" t="s">
        <v>290</v>
      </c>
      <c r="D137" s="53" t="s">
        <v>284</v>
      </c>
      <c r="E137" s="71">
        <v>50</v>
      </c>
      <c r="F137" s="72">
        <v>2301.91</v>
      </c>
      <c r="G137" s="73">
        <f t="shared" si="32"/>
        <v>115095.5</v>
      </c>
      <c r="H137" s="74">
        <f t="shared" si="33"/>
        <v>49</v>
      </c>
      <c r="I137" s="73">
        <f t="shared" si="34"/>
        <v>112793.59</v>
      </c>
      <c r="J137" s="181">
        <v>2</v>
      </c>
      <c r="K137" s="75">
        <f t="shared" si="35"/>
        <v>4603.82</v>
      </c>
      <c r="L137" s="76">
        <f t="shared" si="36"/>
        <v>1</v>
      </c>
      <c r="M137" s="73">
        <f t="shared" si="37"/>
        <v>2301.91</v>
      </c>
      <c r="N137" s="86">
        <f t="shared" si="39"/>
        <v>0.98</v>
      </c>
      <c r="O137" s="8"/>
      <c r="P137" s="9">
        <f t="shared" si="31"/>
        <v>47</v>
      </c>
      <c r="Q137" s="9"/>
      <c r="R137" s="9"/>
      <c r="S137" s="9"/>
      <c r="T137" s="9"/>
      <c r="U137" s="9"/>
      <c r="V137" s="9"/>
      <c r="W137" s="9"/>
      <c r="X137" s="9"/>
      <c r="Y137" s="9">
        <v>7</v>
      </c>
      <c r="Z137" s="10">
        <v>10</v>
      </c>
      <c r="AA137" s="9">
        <v>5</v>
      </c>
      <c r="AB137" s="9">
        <v>2</v>
      </c>
      <c r="AC137" s="9">
        <v>2</v>
      </c>
      <c r="AD137" s="9">
        <v>2</v>
      </c>
      <c r="AE137" s="9"/>
      <c r="AF137" s="9">
        <v>4</v>
      </c>
      <c r="AG137" s="9">
        <v>2</v>
      </c>
      <c r="AH137" s="9">
        <v>1</v>
      </c>
      <c r="AI137" s="10">
        <v>1</v>
      </c>
      <c r="AJ137" s="10">
        <v>6</v>
      </c>
      <c r="AK137" s="10">
        <v>3</v>
      </c>
      <c r="AL137" s="202">
        <v>2</v>
      </c>
      <c r="AM137" s="202"/>
      <c r="AN137" s="202"/>
    </row>
    <row r="138" spans="1:40" s="10" customFormat="1" ht="39.950000000000003" customHeight="1" x14ac:dyDescent="0.25">
      <c r="A138" s="55">
        <v>1</v>
      </c>
      <c r="B138" s="53" t="s">
        <v>291</v>
      </c>
      <c r="C138" s="89" t="s">
        <v>292</v>
      </c>
      <c r="D138" s="53" t="s">
        <v>284</v>
      </c>
      <c r="E138" s="71">
        <v>11</v>
      </c>
      <c r="F138" s="72">
        <v>3293.92</v>
      </c>
      <c r="G138" s="73">
        <f t="shared" si="32"/>
        <v>36233.120000000003</v>
      </c>
      <c r="H138" s="74">
        <f t="shared" si="33"/>
        <v>10</v>
      </c>
      <c r="I138" s="73">
        <f t="shared" si="34"/>
        <v>32939.199999999997</v>
      </c>
      <c r="J138" s="181">
        <v>1</v>
      </c>
      <c r="K138" s="75">
        <f t="shared" si="35"/>
        <v>3293.92</v>
      </c>
      <c r="L138" s="76">
        <f t="shared" si="36"/>
        <v>1</v>
      </c>
      <c r="M138" s="73">
        <f t="shared" si="37"/>
        <v>3293.92</v>
      </c>
      <c r="N138" s="86">
        <f t="shared" si="39"/>
        <v>0.90909090909090895</v>
      </c>
      <c r="O138" s="8"/>
      <c r="P138" s="9">
        <f t="shared" si="31"/>
        <v>9</v>
      </c>
      <c r="Q138" s="9"/>
      <c r="R138" s="9"/>
      <c r="S138" s="9"/>
      <c r="T138" s="9"/>
      <c r="U138" s="9"/>
      <c r="V138" s="9"/>
      <c r="W138" s="9"/>
      <c r="X138" s="9"/>
      <c r="Y138" s="9">
        <v>1</v>
      </c>
      <c r="AA138" s="9">
        <v>1</v>
      </c>
      <c r="AB138" s="9">
        <v>5</v>
      </c>
      <c r="AC138" s="9">
        <v>1</v>
      </c>
      <c r="AD138" s="9"/>
      <c r="AE138" s="9"/>
      <c r="AF138" s="9">
        <v>1</v>
      </c>
      <c r="AG138" s="9"/>
      <c r="AH138" s="9"/>
      <c r="AL138" s="206"/>
      <c r="AM138" s="206"/>
      <c r="AN138" s="206"/>
    </row>
    <row r="139" spans="1:40" s="10" customFormat="1" ht="39.950000000000003" customHeight="1" x14ac:dyDescent="0.25">
      <c r="A139" s="55">
        <v>1</v>
      </c>
      <c r="B139" s="53" t="s">
        <v>293</v>
      </c>
      <c r="C139" s="89" t="s">
        <v>294</v>
      </c>
      <c r="D139" s="53" t="s">
        <v>284</v>
      </c>
      <c r="E139" s="71">
        <v>1</v>
      </c>
      <c r="F139" s="72">
        <v>4295.78</v>
      </c>
      <c r="G139" s="73">
        <f t="shared" si="32"/>
        <v>4295.78</v>
      </c>
      <c r="H139" s="74">
        <f t="shared" si="33"/>
        <v>1</v>
      </c>
      <c r="I139" s="87">
        <f t="shared" si="34"/>
        <v>4295.78</v>
      </c>
      <c r="J139" s="180"/>
      <c r="K139" s="75">
        <f t="shared" si="35"/>
        <v>0</v>
      </c>
      <c r="L139" s="76">
        <f t="shared" si="36"/>
        <v>0</v>
      </c>
      <c r="M139" s="73">
        <f t="shared" si="37"/>
        <v>0</v>
      </c>
      <c r="N139" s="86">
        <f t="shared" si="39"/>
        <v>1</v>
      </c>
      <c r="O139" s="8"/>
      <c r="P139" s="9">
        <f t="shared" si="31"/>
        <v>1</v>
      </c>
      <c r="Q139" s="9"/>
      <c r="R139" s="9"/>
      <c r="S139" s="9"/>
      <c r="T139" s="9"/>
      <c r="U139" s="9"/>
      <c r="V139" s="9"/>
      <c r="W139" s="9"/>
      <c r="X139" s="9"/>
      <c r="Y139" s="9"/>
      <c r="AA139" s="9"/>
      <c r="AB139" s="9"/>
      <c r="AC139" s="9"/>
      <c r="AD139" s="9"/>
      <c r="AE139" s="9"/>
      <c r="AF139" s="9"/>
      <c r="AG139" s="9"/>
      <c r="AH139" s="9"/>
      <c r="AI139" s="10">
        <v>1</v>
      </c>
      <c r="AL139" s="206"/>
      <c r="AM139" s="206"/>
      <c r="AN139" s="206"/>
    </row>
    <row r="140" spans="1:40" s="10" customFormat="1" ht="47.25" customHeight="1" x14ac:dyDescent="0.25">
      <c r="A140" s="55">
        <v>1</v>
      </c>
      <c r="B140" s="53" t="s">
        <v>295</v>
      </c>
      <c r="C140" s="89" t="s">
        <v>296</v>
      </c>
      <c r="D140" s="53" t="s">
        <v>284</v>
      </c>
      <c r="E140" s="71">
        <v>4</v>
      </c>
      <c r="F140" s="72">
        <v>2267.6</v>
      </c>
      <c r="G140" s="73">
        <f t="shared" si="32"/>
        <v>9070.4</v>
      </c>
      <c r="H140" s="74">
        <f t="shared" si="33"/>
        <v>4</v>
      </c>
      <c r="I140" s="73">
        <f t="shared" si="34"/>
        <v>9070.4</v>
      </c>
      <c r="J140" s="180">
        <v>3</v>
      </c>
      <c r="K140" s="75">
        <f t="shared" si="35"/>
        <v>6802.8</v>
      </c>
      <c r="L140" s="76">
        <f t="shared" si="36"/>
        <v>0</v>
      </c>
      <c r="M140" s="73">
        <f t="shared" si="37"/>
        <v>0</v>
      </c>
      <c r="N140" s="86">
        <f t="shared" si="39"/>
        <v>1</v>
      </c>
      <c r="O140" s="8"/>
      <c r="P140" s="9">
        <f t="shared" si="31"/>
        <v>1</v>
      </c>
      <c r="Q140" s="9"/>
      <c r="R140" s="9"/>
      <c r="S140" s="9"/>
      <c r="T140" s="9"/>
      <c r="U140" s="9"/>
      <c r="V140" s="9"/>
      <c r="W140" s="9"/>
      <c r="X140" s="9"/>
      <c r="Y140" s="9"/>
      <c r="AA140" s="9">
        <v>1</v>
      </c>
      <c r="AB140" s="9"/>
      <c r="AC140" s="9"/>
      <c r="AD140" s="9"/>
      <c r="AE140" s="9"/>
      <c r="AF140" s="9"/>
      <c r="AG140" s="9"/>
      <c r="AH140" s="9"/>
      <c r="AL140" s="206"/>
      <c r="AM140" s="206"/>
      <c r="AN140" s="206"/>
    </row>
    <row r="141" spans="1:40" s="10" customFormat="1" ht="49.5" customHeight="1" x14ac:dyDescent="0.25">
      <c r="A141" s="55">
        <v>1</v>
      </c>
      <c r="B141" s="53" t="s">
        <v>297</v>
      </c>
      <c r="C141" s="89" t="s">
        <v>298</v>
      </c>
      <c r="D141" s="53" t="s">
        <v>284</v>
      </c>
      <c r="E141" s="71">
        <v>1</v>
      </c>
      <c r="F141" s="72">
        <v>2013.46</v>
      </c>
      <c r="G141" s="73">
        <f t="shared" si="32"/>
        <v>2013.46</v>
      </c>
      <c r="H141" s="74">
        <f t="shared" si="33"/>
        <v>1</v>
      </c>
      <c r="I141" s="87">
        <f t="shared" si="34"/>
        <v>2013.46</v>
      </c>
      <c r="J141" s="179"/>
      <c r="K141" s="75">
        <f t="shared" si="35"/>
        <v>0</v>
      </c>
      <c r="L141" s="76">
        <f t="shared" si="36"/>
        <v>0</v>
      </c>
      <c r="M141" s="73">
        <f t="shared" si="37"/>
        <v>0</v>
      </c>
      <c r="N141" s="86">
        <f t="shared" si="39"/>
        <v>1</v>
      </c>
      <c r="O141" s="8"/>
      <c r="P141" s="9">
        <f t="shared" si="31"/>
        <v>1</v>
      </c>
      <c r="Q141" s="9"/>
      <c r="R141" s="9"/>
      <c r="S141" s="9"/>
      <c r="T141" s="9"/>
      <c r="U141" s="9"/>
      <c r="V141" s="9"/>
      <c r="W141" s="9"/>
      <c r="X141" s="9"/>
      <c r="Y141" s="9"/>
      <c r="AA141" s="9"/>
      <c r="AB141" s="9"/>
      <c r="AC141" s="9"/>
      <c r="AD141" s="9"/>
      <c r="AE141" s="9"/>
      <c r="AF141" s="9"/>
      <c r="AG141" s="9"/>
      <c r="AH141" s="9">
        <v>1</v>
      </c>
      <c r="AL141" s="205"/>
      <c r="AM141" s="205"/>
      <c r="AN141" s="205"/>
    </row>
    <row r="142" spans="1:40" s="10" customFormat="1" ht="39.950000000000003" customHeight="1" x14ac:dyDescent="0.25">
      <c r="A142" s="98">
        <v>1</v>
      </c>
      <c r="B142" s="70" t="s">
        <v>299</v>
      </c>
      <c r="C142" s="112" t="s">
        <v>300</v>
      </c>
      <c r="D142" s="113" t="s">
        <v>284</v>
      </c>
      <c r="E142" s="111">
        <v>2</v>
      </c>
      <c r="F142" s="72">
        <v>5250.1</v>
      </c>
      <c r="G142" s="108">
        <f t="shared" si="32"/>
        <v>10500.2</v>
      </c>
      <c r="H142" s="99">
        <f t="shared" si="33"/>
        <v>2</v>
      </c>
      <c r="I142" s="77">
        <f t="shared" si="34"/>
        <v>10500.2</v>
      </c>
      <c r="J142" s="180"/>
      <c r="K142" s="75">
        <f t="shared" si="35"/>
        <v>0</v>
      </c>
      <c r="L142" s="100">
        <f t="shared" si="36"/>
        <v>0</v>
      </c>
      <c r="M142" s="73">
        <f t="shared" si="37"/>
        <v>0</v>
      </c>
      <c r="N142" s="59">
        <f t="shared" si="39"/>
        <v>1</v>
      </c>
      <c r="O142" s="8"/>
      <c r="P142" s="9">
        <f t="shared" si="31"/>
        <v>2</v>
      </c>
      <c r="Q142" s="9"/>
      <c r="R142" s="9"/>
      <c r="S142" s="9"/>
      <c r="T142" s="9"/>
      <c r="U142" s="9"/>
      <c r="V142" s="9"/>
      <c r="W142" s="9">
        <v>1</v>
      </c>
      <c r="X142" s="9"/>
      <c r="Y142" s="9"/>
      <c r="AA142" s="9"/>
      <c r="AB142" s="9"/>
      <c r="AC142" s="9"/>
      <c r="AD142" s="9"/>
      <c r="AE142" s="9"/>
      <c r="AF142" s="9"/>
      <c r="AG142" s="9"/>
      <c r="AH142" s="9"/>
      <c r="AK142" s="10">
        <v>1</v>
      </c>
      <c r="AL142" s="206"/>
      <c r="AM142" s="206"/>
      <c r="AN142" s="206"/>
    </row>
    <row r="143" spans="1:40" s="10" customFormat="1" ht="48" customHeight="1" x14ac:dyDescent="0.25">
      <c r="A143" s="55">
        <v>1</v>
      </c>
      <c r="B143" s="53" t="s">
        <v>301</v>
      </c>
      <c r="C143" s="89" t="s">
        <v>302</v>
      </c>
      <c r="D143" s="53" t="s">
        <v>284</v>
      </c>
      <c r="E143" s="71">
        <v>4</v>
      </c>
      <c r="F143" s="72">
        <v>4433.45</v>
      </c>
      <c r="G143" s="73">
        <f t="shared" si="32"/>
        <v>17733.8</v>
      </c>
      <c r="H143" s="74">
        <f t="shared" si="33"/>
        <v>1</v>
      </c>
      <c r="I143" s="87">
        <f t="shared" si="34"/>
        <v>4433.45</v>
      </c>
      <c r="J143" s="180"/>
      <c r="K143" s="88">
        <f t="shared" si="35"/>
        <v>0</v>
      </c>
      <c r="L143" s="76">
        <f t="shared" si="36"/>
        <v>3</v>
      </c>
      <c r="M143" s="73">
        <f t="shared" si="37"/>
        <v>13300.35</v>
      </c>
      <c r="N143" s="86">
        <f t="shared" si="39"/>
        <v>0.25</v>
      </c>
      <c r="O143" s="8"/>
      <c r="P143" s="9">
        <f t="shared" si="31"/>
        <v>1</v>
      </c>
      <c r="Q143" s="9"/>
      <c r="R143" s="9"/>
      <c r="S143" s="9"/>
      <c r="T143" s="9"/>
      <c r="U143" s="9"/>
      <c r="V143" s="9"/>
      <c r="W143" s="9"/>
      <c r="X143" s="9"/>
      <c r="Y143" s="9"/>
      <c r="AA143" s="9"/>
      <c r="AB143" s="9"/>
      <c r="AC143" s="9"/>
      <c r="AD143" s="9"/>
      <c r="AE143" s="9"/>
      <c r="AF143" s="9"/>
      <c r="AG143" s="9"/>
      <c r="AH143" s="9"/>
      <c r="AK143" s="10">
        <v>1</v>
      </c>
      <c r="AL143" s="206"/>
      <c r="AM143" s="206"/>
      <c r="AN143" s="206"/>
    </row>
    <row r="144" spans="1:40" s="10" customFormat="1" ht="45.75" customHeight="1" x14ac:dyDescent="0.25">
      <c r="A144" s="55">
        <v>1</v>
      </c>
      <c r="B144" s="53" t="s">
        <v>303</v>
      </c>
      <c r="C144" s="89" t="s">
        <v>304</v>
      </c>
      <c r="D144" s="53" t="s">
        <v>284</v>
      </c>
      <c r="E144" s="71">
        <v>1</v>
      </c>
      <c r="F144" s="72">
        <v>6579.07</v>
      </c>
      <c r="G144" s="73">
        <f t="shared" si="32"/>
        <v>6579.07</v>
      </c>
      <c r="H144" s="74">
        <f t="shared" si="33"/>
        <v>0</v>
      </c>
      <c r="I144" s="87">
        <f t="shared" si="34"/>
        <v>0</v>
      </c>
      <c r="J144" s="180"/>
      <c r="K144" s="88">
        <f t="shared" si="35"/>
        <v>0</v>
      </c>
      <c r="L144" s="76">
        <f t="shared" si="36"/>
        <v>1</v>
      </c>
      <c r="M144" s="73">
        <f t="shared" si="37"/>
        <v>6579.07</v>
      </c>
      <c r="N144" s="86">
        <f t="shared" si="39"/>
        <v>0</v>
      </c>
      <c r="O144" s="8"/>
      <c r="P144" s="9">
        <f t="shared" ref="P144:P207" si="40">SUM(Q144:AX144)</f>
        <v>0</v>
      </c>
      <c r="Q144" s="9"/>
      <c r="R144" s="9"/>
      <c r="S144" s="9"/>
      <c r="T144" s="9"/>
      <c r="U144" s="9"/>
      <c r="V144" s="9"/>
      <c r="W144" s="9"/>
      <c r="X144" s="9"/>
      <c r="Y144" s="9"/>
      <c r="AA144" s="9"/>
      <c r="AB144" s="9"/>
      <c r="AC144" s="9"/>
      <c r="AD144" s="9"/>
      <c r="AE144" s="9"/>
      <c r="AF144" s="9"/>
      <c r="AG144" s="9"/>
      <c r="AH144" s="9"/>
      <c r="AL144" s="206"/>
      <c r="AM144" s="206"/>
      <c r="AN144" s="206"/>
    </row>
    <row r="145" spans="1:40" s="10" customFormat="1" ht="39.950000000000003" hidden="1" customHeight="1" x14ac:dyDescent="0.25">
      <c r="A145" s="226">
        <v>1</v>
      </c>
      <c r="B145" s="239" t="s">
        <v>305</v>
      </c>
      <c r="C145" s="238" t="s">
        <v>306</v>
      </c>
      <c r="D145" s="239" t="s">
        <v>284</v>
      </c>
      <c r="E145" s="229">
        <v>0</v>
      </c>
      <c r="F145" s="240">
        <v>24859.17</v>
      </c>
      <c r="G145" s="231">
        <f t="shared" si="32"/>
        <v>0</v>
      </c>
      <c r="H145" s="232">
        <f t="shared" si="33"/>
        <v>0</v>
      </c>
      <c r="I145" s="244">
        <f t="shared" si="34"/>
        <v>0</v>
      </c>
      <c r="J145" s="250"/>
      <c r="K145" s="254">
        <f t="shared" si="35"/>
        <v>0</v>
      </c>
      <c r="L145" s="235">
        <f t="shared" si="36"/>
        <v>0</v>
      </c>
      <c r="M145" s="231">
        <f t="shared" si="37"/>
        <v>0</v>
      </c>
      <c r="N145" s="237">
        <v>0</v>
      </c>
      <c r="O145" s="8"/>
      <c r="P145" s="9">
        <f t="shared" si="40"/>
        <v>0</v>
      </c>
      <c r="Q145" s="9"/>
      <c r="R145" s="9"/>
      <c r="S145" s="9"/>
      <c r="T145" s="9"/>
      <c r="U145" s="9"/>
      <c r="V145" s="9"/>
      <c r="W145" s="9"/>
      <c r="X145" s="9"/>
      <c r="Y145" s="9"/>
      <c r="AA145" s="9"/>
      <c r="AB145" s="9"/>
      <c r="AC145" s="9"/>
      <c r="AD145" s="9"/>
      <c r="AE145" s="9"/>
      <c r="AF145" s="9"/>
      <c r="AG145" s="9"/>
      <c r="AH145" s="9"/>
      <c r="AL145" s="211"/>
      <c r="AM145" s="211"/>
      <c r="AN145" s="211"/>
    </row>
    <row r="146" spans="1:40" s="10" customFormat="1" ht="39.950000000000003" customHeight="1" x14ac:dyDescent="0.25">
      <c r="A146" s="55">
        <v>1</v>
      </c>
      <c r="B146" s="53" t="s">
        <v>307</v>
      </c>
      <c r="C146" s="69" t="s">
        <v>119</v>
      </c>
      <c r="D146" s="53" t="s">
        <v>45</v>
      </c>
      <c r="E146" s="71">
        <v>12</v>
      </c>
      <c r="F146" s="72">
        <v>1493.61</v>
      </c>
      <c r="G146" s="73">
        <f t="shared" si="32"/>
        <v>17923.32</v>
      </c>
      <c r="H146" s="74">
        <f t="shared" si="33"/>
        <v>12</v>
      </c>
      <c r="I146" s="87">
        <f t="shared" si="34"/>
        <v>17923.32</v>
      </c>
      <c r="J146" s="180"/>
      <c r="K146" s="75">
        <f t="shared" si="35"/>
        <v>0</v>
      </c>
      <c r="L146" s="76">
        <f t="shared" si="36"/>
        <v>0</v>
      </c>
      <c r="M146" s="73">
        <f t="shared" si="37"/>
        <v>0</v>
      </c>
      <c r="N146" s="86">
        <f>IF(G146=0,"",I146/G146)</f>
        <v>1</v>
      </c>
      <c r="O146" s="8"/>
      <c r="P146" s="9">
        <f t="shared" si="40"/>
        <v>12</v>
      </c>
      <c r="Q146" s="9"/>
      <c r="R146" s="9"/>
      <c r="S146" s="9"/>
      <c r="T146" s="9"/>
      <c r="U146" s="9"/>
      <c r="V146" s="9"/>
      <c r="W146" s="9"/>
      <c r="X146" s="9"/>
      <c r="Y146" s="9"/>
      <c r="AA146" s="9"/>
      <c r="AB146" s="9"/>
      <c r="AC146" s="9"/>
      <c r="AD146" s="9"/>
      <c r="AE146" s="9"/>
      <c r="AF146" s="9"/>
      <c r="AG146" s="9">
        <v>12</v>
      </c>
      <c r="AH146" s="9"/>
      <c r="AL146" s="206"/>
      <c r="AM146" s="206"/>
      <c r="AN146" s="206"/>
    </row>
    <row r="147" spans="1:40" s="10" customFormat="1" ht="39.950000000000003" customHeight="1" x14ac:dyDescent="0.25">
      <c r="A147" s="55">
        <v>1</v>
      </c>
      <c r="B147" s="53" t="s">
        <v>308</v>
      </c>
      <c r="C147" s="69" t="s">
        <v>121</v>
      </c>
      <c r="D147" s="53" t="s">
        <v>45</v>
      </c>
      <c r="E147" s="71">
        <v>19</v>
      </c>
      <c r="F147" s="72">
        <v>2602.34</v>
      </c>
      <c r="G147" s="73">
        <f t="shared" si="32"/>
        <v>49444.46</v>
      </c>
      <c r="H147" s="74">
        <f t="shared" si="33"/>
        <v>19</v>
      </c>
      <c r="I147" s="87">
        <f t="shared" si="34"/>
        <v>49444.46</v>
      </c>
      <c r="J147" s="180"/>
      <c r="K147" s="88">
        <f t="shared" si="35"/>
        <v>0</v>
      </c>
      <c r="L147" s="76">
        <f t="shared" si="36"/>
        <v>0</v>
      </c>
      <c r="M147" s="73">
        <f t="shared" si="37"/>
        <v>0</v>
      </c>
      <c r="N147" s="86">
        <f>IF(G147=0,"",I147/G147)</f>
        <v>1</v>
      </c>
      <c r="O147" s="8"/>
      <c r="P147" s="9">
        <f t="shared" si="40"/>
        <v>19</v>
      </c>
      <c r="Q147" s="9"/>
      <c r="R147" s="9"/>
      <c r="S147" s="9"/>
      <c r="T147" s="9"/>
      <c r="U147" s="9"/>
      <c r="V147" s="9"/>
      <c r="W147" s="9"/>
      <c r="X147" s="9"/>
      <c r="Y147" s="9"/>
      <c r="AA147" s="9"/>
      <c r="AB147" s="9"/>
      <c r="AC147" s="9"/>
      <c r="AD147" s="9"/>
      <c r="AE147" s="9"/>
      <c r="AF147" s="9"/>
      <c r="AG147" s="9"/>
      <c r="AH147" s="9"/>
      <c r="AK147" s="10">
        <v>19</v>
      </c>
      <c r="AL147" s="206"/>
      <c r="AM147" s="206"/>
      <c r="AN147" s="206"/>
    </row>
    <row r="148" spans="1:40" s="10" customFormat="1" ht="45.75" customHeight="1" x14ac:dyDescent="0.25">
      <c r="A148" s="55">
        <v>1</v>
      </c>
      <c r="B148" s="53" t="s">
        <v>309</v>
      </c>
      <c r="C148" s="69" t="s">
        <v>123</v>
      </c>
      <c r="D148" s="53" t="s">
        <v>45</v>
      </c>
      <c r="E148" s="71">
        <v>0.5</v>
      </c>
      <c r="F148" s="72">
        <v>4835.95</v>
      </c>
      <c r="G148" s="73">
        <f t="shared" si="32"/>
        <v>2417.98</v>
      </c>
      <c r="H148" s="74">
        <f t="shared" si="33"/>
        <v>0.5</v>
      </c>
      <c r="I148" s="87">
        <f t="shared" si="34"/>
        <v>2417.98</v>
      </c>
      <c r="J148" s="180"/>
      <c r="K148" s="88">
        <f t="shared" si="35"/>
        <v>0</v>
      </c>
      <c r="L148" s="76">
        <f t="shared" si="36"/>
        <v>0</v>
      </c>
      <c r="M148" s="73">
        <f t="shared" si="37"/>
        <v>0</v>
      </c>
      <c r="N148" s="86">
        <f>IF(G148=0,"",I148/G148)</f>
        <v>1</v>
      </c>
      <c r="O148" s="8"/>
      <c r="P148" s="9">
        <f t="shared" si="40"/>
        <v>0.5</v>
      </c>
      <c r="Q148" s="9"/>
      <c r="R148" s="9"/>
      <c r="S148" s="9"/>
      <c r="T148" s="9"/>
      <c r="U148" s="9"/>
      <c r="V148" s="9"/>
      <c r="W148" s="9"/>
      <c r="X148" s="9"/>
      <c r="Y148" s="9"/>
      <c r="AA148" s="9"/>
      <c r="AB148" s="9"/>
      <c r="AC148" s="9"/>
      <c r="AD148" s="9"/>
      <c r="AE148" s="9"/>
      <c r="AF148" s="9"/>
      <c r="AG148" s="9"/>
      <c r="AH148" s="9"/>
      <c r="AK148" s="10">
        <v>0.5</v>
      </c>
      <c r="AL148" s="206"/>
      <c r="AM148" s="206"/>
      <c r="AN148" s="206"/>
    </row>
    <row r="149" spans="1:40" s="10" customFormat="1" ht="40.5" customHeight="1" x14ac:dyDescent="0.25">
      <c r="A149" s="55">
        <v>1</v>
      </c>
      <c r="B149" s="53" t="s">
        <v>310</v>
      </c>
      <c r="C149" s="89" t="s">
        <v>311</v>
      </c>
      <c r="D149" s="53" t="s">
        <v>312</v>
      </c>
      <c r="E149" s="71">
        <v>7560</v>
      </c>
      <c r="F149" s="72">
        <v>1.02</v>
      </c>
      <c r="G149" s="73">
        <f t="shared" si="32"/>
        <v>7711.2</v>
      </c>
      <c r="H149" s="74">
        <f t="shared" si="33"/>
        <v>7560</v>
      </c>
      <c r="I149" s="73">
        <f t="shared" si="34"/>
        <v>7711.2</v>
      </c>
      <c r="J149" s="181"/>
      <c r="K149" s="75">
        <f t="shared" si="35"/>
        <v>0</v>
      </c>
      <c r="L149" s="76">
        <f t="shared" si="36"/>
        <v>0</v>
      </c>
      <c r="M149" s="73">
        <f t="shared" si="37"/>
        <v>0</v>
      </c>
      <c r="N149" s="86">
        <f>IF(G149=0,"",I149/G149)</f>
        <v>1</v>
      </c>
      <c r="O149" s="8"/>
      <c r="P149" s="9">
        <f t="shared" si="40"/>
        <v>7560</v>
      </c>
      <c r="Q149" s="9"/>
      <c r="R149" s="9"/>
      <c r="S149" s="9"/>
      <c r="T149" s="9"/>
      <c r="U149" s="9"/>
      <c r="V149" s="9">
        <v>1701</v>
      </c>
      <c r="W149" s="9"/>
      <c r="X149" s="9"/>
      <c r="Y149" s="9">
        <v>3675</v>
      </c>
      <c r="Z149" s="10">
        <v>787.5</v>
      </c>
      <c r="AA149" s="9">
        <v>945</v>
      </c>
      <c r="AB149" s="9">
        <v>451.5</v>
      </c>
      <c r="AC149" s="9"/>
      <c r="AD149" s="9"/>
      <c r="AE149" s="9"/>
      <c r="AF149" s="9"/>
      <c r="AG149" s="9"/>
      <c r="AH149" s="9"/>
      <c r="AL149" s="202"/>
      <c r="AM149" s="202"/>
      <c r="AN149" s="202"/>
    </row>
    <row r="150" spans="1:40" s="10" customFormat="1" ht="39.950000000000003" customHeight="1" x14ac:dyDescent="0.25">
      <c r="A150" s="274" t="s">
        <v>313</v>
      </c>
      <c r="B150" s="274"/>
      <c r="C150" s="274"/>
      <c r="D150" s="274"/>
      <c r="E150" s="274"/>
      <c r="F150" s="274"/>
      <c r="G150" s="79">
        <f>SUM(G110:G149)</f>
        <v>1092867.6199999996</v>
      </c>
      <c r="H150" s="80"/>
      <c r="I150" s="79">
        <f>SUM(I110:I149)</f>
        <v>948085.73999999976</v>
      </c>
      <c r="J150" s="181"/>
      <c r="K150" s="79">
        <f>SUM(K110:K149)</f>
        <v>24741.399999999998</v>
      </c>
      <c r="L150" s="82"/>
      <c r="M150" s="79">
        <f>SUM(M110:M149)</f>
        <v>144781.88</v>
      </c>
      <c r="N150" s="93">
        <f>IF(G150=0,"",I150/G150)</f>
        <v>0.86752111843152613</v>
      </c>
      <c r="O150" s="8"/>
      <c r="P150" s="9">
        <f t="shared" si="40"/>
        <v>0</v>
      </c>
      <c r="Q150" s="9"/>
      <c r="R150" s="9"/>
      <c r="S150" s="9"/>
      <c r="T150" s="9"/>
      <c r="U150" s="9"/>
      <c r="V150" s="9"/>
      <c r="W150" s="9"/>
      <c r="X150" s="9"/>
      <c r="Y150" s="9"/>
      <c r="AA150" s="9"/>
      <c r="AB150" s="9"/>
      <c r="AC150" s="9"/>
      <c r="AD150" s="9"/>
      <c r="AE150" s="9"/>
      <c r="AF150" s="9"/>
      <c r="AG150" s="9"/>
      <c r="AH150" s="9"/>
      <c r="AL150" s="202"/>
      <c r="AM150" s="202"/>
      <c r="AN150" s="202"/>
    </row>
    <row r="151" spans="1:40" s="10" customFormat="1" ht="39.950000000000003" customHeight="1" x14ac:dyDescent="0.25">
      <c r="A151" s="68">
        <v>1</v>
      </c>
      <c r="B151" s="68" t="s">
        <v>314</v>
      </c>
      <c r="C151" s="83" t="s">
        <v>315</v>
      </c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221"/>
      <c r="O151" s="8"/>
      <c r="P151" s="9">
        <f t="shared" si="40"/>
        <v>0</v>
      </c>
      <c r="Q151" s="9"/>
      <c r="R151" s="9"/>
      <c r="S151" s="9"/>
      <c r="T151" s="9"/>
      <c r="U151" s="9"/>
      <c r="V151" s="9"/>
      <c r="W151" s="9"/>
      <c r="X151" s="9"/>
      <c r="Y151" s="9"/>
      <c r="AA151" s="9"/>
      <c r="AB151" s="9"/>
      <c r="AC151" s="9"/>
      <c r="AD151" s="9"/>
      <c r="AE151" s="9"/>
      <c r="AF151" s="9"/>
      <c r="AG151" s="9"/>
      <c r="AH151" s="9"/>
      <c r="AL151" s="203"/>
      <c r="AM151" s="203"/>
      <c r="AN151" s="203"/>
    </row>
    <row r="152" spans="1:40" s="10" customFormat="1" ht="39.950000000000003" customHeight="1" x14ac:dyDescent="0.25">
      <c r="A152" s="98">
        <v>1</v>
      </c>
      <c r="B152" s="98" t="s">
        <v>316</v>
      </c>
      <c r="C152" s="69" t="s">
        <v>102</v>
      </c>
      <c r="D152" s="70" t="s">
        <v>93</v>
      </c>
      <c r="E152" s="78">
        <v>13985.023300000001</v>
      </c>
      <c r="F152" s="77">
        <v>3.75</v>
      </c>
      <c r="G152" s="73">
        <f t="shared" ref="G152:G170" si="41">ROUND(E152*F152,2)</f>
        <v>52443.839999999997</v>
      </c>
      <c r="H152" s="99">
        <f>P152+J152</f>
        <v>13985.02</v>
      </c>
      <c r="I152" s="73">
        <f t="shared" ref="I152:I170" si="42">ROUND(H152*F152,2)</f>
        <v>52443.83</v>
      </c>
      <c r="J152" s="180"/>
      <c r="K152" s="75">
        <f t="shared" ref="K152:K170" si="43">ROUND(J152*F152,2)</f>
        <v>0</v>
      </c>
      <c r="L152" s="100">
        <f t="shared" ref="L152:L170" si="44">E152-H152</f>
        <v>3.3000000003085006E-3</v>
      </c>
      <c r="M152" s="73">
        <f t="shared" ref="M152:M170" si="45">ROUND(G152-I152,2)</f>
        <v>0.01</v>
      </c>
      <c r="N152" s="59">
        <f>IF(G152=0,"",I152/G152)</f>
        <v>0.99999980931983634</v>
      </c>
      <c r="O152" s="8"/>
      <c r="P152" s="9">
        <f t="shared" si="40"/>
        <v>13985.02</v>
      </c>
      <c r="Q152" s="9"/>
      <c r="R152" s="9"/>
      <c r="S152" s="9"/>
      <c r="T152" s="9"/>
      <c r="U152" s="9">
        <v>1177.2</v>
      </c>
      <c r="V152" s="9">
        <v>538.16</v>
      </c>
      <c r="W152" s="9">
        <v>804.64</v>
      </c>
      <c r="X152" s="9"/>
      <c r="Y152" s="9"/>
      <c r="AA152" s="9"/>
      <c r="AB152" s="9"/>
      <c r="AC152" s="9"/>
      <c r="AD152" s="9"/>
      <c r="AE152" s="9"/>
      <c r="AF152" s="9">
        <v>10243.25</v>
      </c>
      <c r="AG152" s="9">
        <v>1221.77</v>
      </c>
      <c r="AH152" s="9"/>
      <c r="AL152" s="206"/>
      <c r="AM152" s="206"/>
      <c r="AN152" s="206"/>
    </row>
    <row r="153" spans="1:40" s="10" customFormat="1" ht="39.950000000000003" hidden="1" customHeight="1" x14ac:dyDescent="0.25">
      <c r="A153" s="226">
        <v>1</v>
      </c>
      <c r="B153" s="226" t="s">
        <v>317</v>
      </c>
      <c r="C153" s="238" t="s">
        <v>165</v>
      </c>
      <c r="D153" s="239" t="s">
        <v>107</v>
      </c>
      <c r="E153" s="229">
        <v>0</v>
      </c>
      <c r="F153" s="231">
        <v>0.77</v>
      </c>
      <c r="G153" s="231">
        <f t="shared" si="41"/>
        <v>0</v>
      </c>
      <c r="H153" s="232"/>
      <c r="I153" s="231">
        <f t="shared" si="42"/>
        <v>0</v>
      </c>
      <c r="J153" s="241"/>
      <c r="K153" s="242">
        <f t="shared" si="43"/>
        <v>0</v>
      </c>
      <c r="L153" s="235">
        <f t="shared" si="44"/>
        <v>0</v>
      </c>
      <c r="M153" s="231">
        <f t="shared" si="45"/>
        <v>0</v>
      </c>
      <c r="N153" s="237">
        <v>0</v>
      </c>
      <c r="O153" s="8"/>
      <c r="P153" s="9">
        <f t="shared" si="40"/>
        <v>0</v>
      </c>
      <c r="Q153" s="9"/>
      <c r="R153" s="9"/>
      <c r="S153" s="9"/>
      <c r="T153" s="9"/>
      <c r="U153" s="9">
        <v>2354.4</v>
      </c>
      <c r="V153" s="9"/>
      <c r="W153" s="9"/>
      <c r="X153" s="9"/>
      <c r="Y153" s="9"/>
      <c r="AA153" s="9"/>
      <c r="AB153" s="9"/>
      <c r="AC153" s="9"/>
      <c r="AD153" s="9"/>
      <c r="AE153" s="9"/>
      <c r="AF153" s="9">
        <v>-2354.4</v>
      </c>
      <c r="AG153" s="9"/>
      <c r="AH153" s="9"/>
      <c r="AL153" s="207"/>
      <c r="AM153" s="207"/>
      <c r="AN153" s="207"/>
    </row>
    <row r="154" spans="1:40" s="10" customFormat="1" ht="39.950000000000003" customHeight="1" x14ac:dyDescent="0.25">
      <c r="A154" s="98">
        <v>1</v>
      </c>
      <c r="B154" s="98" t="s">
        <v>318</v>
      </c>
      <c r="C154" s="69" t="s">
        <v>319</v>
      </c>
      <c r="D154" s="70" t="s">
        <v>320</v>
      </c>
      <c r="E154" s="78">
        <v>7000</v>
      </c>
      <c r="F154" s="77">
        <v>10.25</v>
      </c>
      <c r="G154" s="77">
        <f t="shared" si="41"/>
        <v>71750</v>
      </c>
      <c r="H154" s="99">
        <f>P154+J154</f>
        <v>6750.8</v>
      </c>
      <c r="I154" s="77">
        <f t="shared" si="42"/>
        <v>69195.7</v>
      </c>
      <c r="J154" s="180"/>
      <c r="K154" s="75">
        <f t="shared" si="43"/>
        <v>0</v>
      </c>
      <c r="L154" s="100">
        <f t="shared" si="44"/>
        <v>249.19999999999982</v>
      </c>
      <c r="M154" s="77">
        <f t="shared" si="45"/>
        <v>2554.3000000000002</v>
      </c>
      <c r="N154" s="59">
        <f>IF(G154=0,"",I154/G154)</f>
        <v>0.96439999999999992</v>
      </c>
      <c r="O154" s="8"/>
      <c r="P154" s="9">
        <f t="shared" si="40"/>
        <v>6750.8</v>
      </c>
      <c r="Q154" s="9"/>
      <c r="R154" s="9"/>
      <c r="S154" s="9"/>
      <c r="T154" s="9"/>
      <c r="U154" s="9">
        <v>392.4</v>
      </c>
      <c r="V154" s="9">
        <v>966.2</v>
      </c>
      <c r="W154" s="9">
        <v>1977.49</v>
      </c>
      <c r="X154" s="9"/>
      <c r="Y154" s="9"/>
      <c r="AA154" s="9">
        <v>1559.32</v>
      </c>
      <c r="AB154" s="9"/>
      <c r="AC154" s="9">
        <v>1043.19</v>
      </c>
      <c r="AD154" s="9">
        <v>121.07</v>
      </c>
      <c r="AE154" s="9"/>
      <c r="AF154" s="9"/>
      <c r="AG154" s="9">
        <v>667.44</v>
      </c>
      <c r="AH154" s="9"/>
      <c r="AK154" s="10">
        <v>23.69</v>
      </c>
      <c r="AL154" s="206"/>
      <c r="AM154" s="206"/>
      <c r="AN154" s="206"/>
    </row>
    <row r="155" spans="1:40" s="10" customFormat="1" ht="39.950000000000003" hidden="1" customHeight="1" x14ac:dyDescent="0.25">
      <c r="A155" s="226">
        <v>1</v>
      </c>
      <c r="B155" s="226" t="s">
        <v>321</v>
      </c>
      <c r="C155" s="238" t="s">
        <v>322</v>
      </c>
      <c r="D155" s="239" t="s">
        <v>323</v>
      </c>
      <c r="E155" s="229">
        <v>0</v>
      </c>
      <c r="F155" s="231">
        <v>0.96</v>
      </c>
      <c r="G155" s="231">
        <f t="shared" si="41"/>
        <v>0</v>
      </c>
      <c r="H155" s="232"/>
      <c r="I155" s="231">
        <f t="shared" si="42"/>
        <v>0</v>
      </c>
      <c r="J155" s="241"/>
      <c r="K155" s="242">
        <f t="shared" si="43"/>
        <v>0</v>
      </c>
      <c r="L155" s="235">
        <f t="shared" si="44"/>
        <v>0</v>
      </c>
      <c r="M155" s="231">
        <f t="shared" si="45"/>
        <v>0</v>
      </c>
      <c r="N155" s="237">
        <v>0</v>
      </c>
      <c r="O155" s="8"/>
      <c r="P155" s="9">
        <f t="shared" si="40"/>
        <v>0</v>
      </c>
      <c r="Q155" s="9"/>
      <c r="R155" s="9"/>
      <c r="S155" s="9"/>
      <c r="T155" s="9"/>
      <c r="U155" s="9">
        <v>7848</v>
      </c>
      <c r="V155" s="9">
        <v>19336.400000000001</v>
      </c>
      <c r="W155" s="9"/>
      <c r="X155" s="9"/>
      <c r="Y155" s="9"/>
      <c r="AA155" s="9"/>
      <c r="AB155" s="9"/>
      <c r="AC155" s="9"/>
      <c r="AD155" s="9"/>
      <c r="AE155" s="9"/>
      <c r="AF155" s="9">
        <v>-27184.400000000001</v>
      </c>
      <c r="AG155" s="9"/>
      <c r="AH155" s="9"/>
      <c r="AL155" s="207"/>
      <c r="AM155" s="207"/>
      <c r="AN155" s="207"/>
    </row>
    <row r="156" spans="1:40" s="10" customFormat="1" ht="39.950000000000003" hidden="1" customHeight="1" x14ac:dyDescent="0.25">
      <c r="A156" s="226">
        <v>1</v>
      </c>
      <c r="B156" s="226" t="s">
        <v>324</v>
      </c>
      <c r="C156" s="260" t="s">
        <v>325</v>
      </c>
      <c r="D156" s="261" t="s">
        <v>326</v>
      </c>
      <c r="E156" s="262">
        <v>0</v>
      </c>
      <c r="F156" s="231">
        <v>15</v>
      </c>
      <c r="G156" s="231">
        <f t="shared" si="41"/>
        <v>0</v>
      </c>
      <c r="H156" s="232"/>
      <c r="I156" s="231">
        <f t="shared" si="42"/>
        <v>0</v>
      </c>
      <c r="J156" s="241"/>
      <c r="K156" s="242">
        <f t="shared" si="43"/>
        <v>0</v>
      </c>
      <c r="L156" s="235">
        <f t="shared" si="44"/>
        <v>0</v>
      </c>
      <c r="M156" s="231">
        <f t="shared" si="45"/>
        <v>0</v>
      </c>
      <c r="N156" s="237">
        <v>0</v>
      </c>
      <c r="O156" s="8"/>
      <c r="P156" s="9">
        <f t="shared" si="40"/>
        <v>0</v>
      </c>
      <c r="Q156" s="9"/>
      <c r="R156" s="9"/>
      <c r="S156" s="9"/>
      <c r="T156" s="9"/>
      <c r="U156" s="9">
        <v>706.32</v>
      </c>
      <c r="V156" s="9">
        <v>1740.28</v>
      </c>
      <c r="W156" s="9"/>
      <c r="X156" s="9"/>
      <c r="Y156" s="9"/>
      <c r="AA156" s="9"/>
      <c r="AB156" s="9"/>
      <c r="AC156" s="9"/>
      <c r="AD156" s="9"/>
      <c r="AE156" s="9"/>
      <c r="AF156" s="9">
        <v>-2446.6</v>
      </c>
      <c r="AG156" s="9"/>
      <c r="AH156" s="9"/>
      <c r="AL156" s="207"/>
      <c r="AM156" s="207"/>
      <c r="AN156" s="207"/>
    </row>
    <row r="157" spans="1:40" s="10" customFormat="1" ht="39.950000000000003" customHeight="1" x14ac:dyDescent="0.25">
      <c r="A157" s="98">
        <v>1</v>
      </c>
      <c r="B157" s="98" t="s">
        <v>327</v>
      </c>
      <c r="C157" s="69" t="s">
        <v>241</v>
      </c>
      <c r="D157" s="70" t="s">
        <v>93</v>
      </c>
      <c r="E157" s="78">
        <v>6873.54</v>
      </c>
      <c r="F157" s="77">
        <v>9.43</v>
      </c>
      <c r="G157" s="73">
        <f>ROUND(E157*F157,2)+0.01</f>
        <v>64817.490000000005</v>
      </c>
      <c r="H157" s="99">
        <f t="shared" ref="H157:H167" si="46">P157+J157</f>
        <v>6873.54</v>
      </c>
      <c r="I157" s="77">
        <f t="shared" si="42"/>
        <v>64817.48</v>
      </c>
      <c r="J157" s="179">
        <v>364.84</v>
      </c>
      <c r="K157" s="75">
        <f t="shared" si="43"/>
        <v>3440.44</v>
      </c>
      <c r="L157" s="100">
        <f t="shared" si="44"/>
        <v>0</v>
      </c>
      <c r="M157" s="73">
        <f t="shared" si="45"/>
        <v>0.01</v>
      </c>
      <c r="N157" s="59">
        <f t="shared" ref="N157:N167" si="47">IF(G157=0,"",I157/G157)</f>
        <v>0.99999984572065348</v>
      </c>
      <c r="O157" s="8"/>
      <c r="P157" s="9">
        <f t="shared" si="40"/>
        <v>6508.7</v>
      </c>
      <c r="Q157" s="9"/>
      <c r="R157" s="9"/>
      <c r="S157" s="9"/>
      <c r="T157" s="9"/>
      <c r="U157" s="9">
        <v>741.2</v>
      </c>
      <c r="V157" s="9">
        <v>428.73</v>
      </c>
      <c r="W157" s="9">
        <v>2834.58</v>
      </c>
      <c r="X157" s="9">
        <v>753.99</v>
      </c>
      <c r="Y157" s="9"/>
      <c r="AA157" s="9"/>
      <c r="AB157" s="9"/>
      <c r="AC157" s="9"/>
      <c r="AD157" s="9"/>
      <c r="AE157" s="9"/>
      <c r="AF157" s="9">
        <v>945.7</v>
      </c>
      <c r="AG157" s="9"/>
      <c r="AH157" s="9">
        <v>804.5</v>
      </c>
      <c r="AL157" s="205"/>
      <c r="AM157" s="205"/>
      <c r="AN157" s="205"/>
    </row>
    <row r="158" spans="1:40" s="10" customFormat="1" ht="39.950000000000003" customHeight="1" x14ac:dyDescent="0.25">
      <c r="A158" s="98">
        <v>1</v>
      </c>
      <c r="B158" s="70" t="s">
        <v>328</v>
      </c>
      <c r="C158" s="69" t="s">
        <v>329</v>
      </c>
      <c r="D158" s="70" t="s">
        <v>93</v>
      </c>
      <c r="E158" s="78">
        <v>2538.875</v>
      </c>
      <c r="F158" s="77">
        <v>77.83</v>
      </c>
      <c r="G158" s="73">
        <f t="shared" si="41"/>
        <v>197600.64000000001</v>
      </c>
      <c r="H158" s="99">
        <f t="shared" si="46"/>
        <v>2538.88</v>
      </c>
      <c r="I158" s="77">
        <f t="shared" si="42"/>
        <v>197601.03</v>
      </c>
      <c r="J158" s="180"/>
      <c r="K158" s="75">
        <f t="shared" si="43"/>
        <v>0</v>
      </c>
      <c r="L158" s="100">
        <f t="shared" si="44"/>
        <v>-5.0000000001091394E-3</v>
      </c>
      <c r="M158" s="73">
        <f t="shared" si="45"/>
        <v>-0.39</v>
      </c>
      <c r="N158" s="59">
        <f t="shared" si="47"/>
        <v>1.0000019736778181</v>
      </c>
      <c r="O158" s="8"/>
      <c r="P158" s="9">
        <f t="shared" si="40"/>
        <v>2538.88</v>
      </c>
      <c r="Q158" s="9"/>
      <c r="R158" s="9"/>
      <c r="S158" s="9"/>
      <c r="T158" s="9"/>
      <c r="U158" s="9">
        <v>274.68</v>
      </c>
      <c r="V158" s="9">
        <v>315.62</v>
      </c>
      <c r="W158" s="9">
        <v>1370.09</v>
      </c>
      <c r="X158" s="9">
        <v>408.54</v>
      </c>
      <c r="Y158" s="9"/>
      <c r="AA158" s="9">
        <v>131.07</v>
      </c>
      <c r="AB158" s="9"/>
      <c r="AC158" s="9"/>
      <c r="AD158" s="9"/>
      <c r="AE158" s="9"/>
      <c r="AF158" s="9"/>
      <c r="AG158" s="9">
        <v>38.880000000000003</v>
      </c>
      <c r="AH158" s="9"/>
      <c r="AL158" s="206"/>
      <c r="AM158" s="206"/>
      <c r="AN158" s="206"/>
    </row>
    <row r="159" spans="1:40" s="10" customFormat="1" ht="39.950000000000003" customHeight="1" x14ac:dyDescent="0.25">
      <c r="A159" s="98">
        <v>1</v>
      </c>
      <c r="B159" s="70" t="s">
        <v>330</v>
      </c>
      <c r="C159" s="115" t="s">
        <v>331</v>
      </c>
      <c r="D159" s="70" t="s">
        <v>93</v>
      </c>
      <c r="E159" s="78">
        <v>599.29600000000005</v>
      </c>
      <c r="F159" s="77">
        <v>90.12</v>
      </c>
      <c r="G159" s="73">
        <f t="shared" si="41"/>
        <v>54008.56</v>
      </c>
      <c r="H159" s="99">
        <f t="shared" si="46"/>
        <v>599.29999999999995</v>
      </c>
      <c r="I159" s="77">
        <f t="shared" si="42"/>
        <v>54008.92</v>
      </c>
      <c r="J159" s="180"/>
      <c r="K159" s="75">
        <f t="shared" si="43"/>
        <v>0</v>
      </c>
      <c r="L159" s="100">
        <f t="shared" si="44"/>
        <v>-3.9999999999054126E-3</v>
      </c>
      <c r="M159" s="73">
        <f t="shared" si="45"/>
        <v>-0.36</v>
      </c>
      <c r="N159" s="59">
        <f t="shared" si="47"/>
        <v>1.0000066656100441</v>
      </c>
      <c r="O159" s="8"/>
      <c r="P159" s="9">
        <f t="shared" si="40"/>
        <v>599.29999999999995</v>
      </c>
      <c r="Q159" s="9"/>
      <c r="R159" s="9"/>
      <c r="S159" s="9"/>
      <c r="T159" s="9"/>
      <c r="U159" s="9">
        <v>117.72</v>
      </c>
      <c r="V159" s="9">
        <v>44.76</v>
      </c>
      <c r="W159" s="9">
        <v>237.52</v>
      </c>
      <c r="X159" s="9"/>
      <c r="Y159" s="9"/>
      <c r="AA159" s="9"/>
      <c r="AB159" s="9"/>
      <c r="AC159" s="9"/>
      <c r="AD159" s="9"/>
      <c r="AE159" s="9"/>
      <c r="AF159" s="9">
        <v>131.32</v>
      </c>
      <c r="AG159" s="9">
        <v>67.98</v>
      </c>
      <c r="AH159" s="9"/>
      <c r="AL159" s="206"/>
      <c r="AM159" s="206"/>
      <c r="AN159" s="206"/>
    </row>
    <row r="160" spans="1:40" s="10" customFormat="1" ht="39.950000000000003" customHeight="1" x14ac:dyDescent="0.25">
      <c r="A160" s="98">
        <v>1</v>
      </c>
      <c r="B160" s="70" t="s">
        <v>332</v>
      </c>
      <c r="C160" s="69" t="s">
        <v>333</v>
      </c>
      <c r="D160" s="70" t="s">
        <v>320</v>
      </c>
      <c r="E160" s="78">
        <v>533.14946999999995</v>
      </c>
      <c r="F160" s="77">
        <v>353.13</v>
      </c>
      <c r="G160" s="73">
        <f t="shared" si="41"/>
        <v>188271.07</v>
      </c>
      <c r="H160" s="99">
        <f t="shared" si="46"/>
        <v>240.75000000000003</v>
      </c>
      <c r="I160" s="77">
        <f t="shared" si="42"/>
        <v>85016.05</v>
      </c>
      <c r="J160" s="180">
        <v>3.84</v>
      </c>
      <c r="K160" s="75">
        <f t="shared" si="43"/>
        <v>1356.02</v>
      </c>
      <c r="L160" s="100">
        <f t="shared" si="44"/>
        <v>292.39946999999995</v>
      </c>
      <c r="M160" s="73">
        <f t="shared" si="45"/>
        <v>103255.02</v>
      </c>
      <c r="N160" s="59">
        <f t="shared" si="47"/>
        <v>0.45156194204452121</v>
      </c>
      <c r="O160" s="8"/>
      <c r="P160" s="9">
        <f t="shared" si="40"/>
        <v>236.91000000000003</v>
      </c>
      <c r="Q160" s="9"/>
      <c r="R160" s="9"/>
      <c r="S160" s="9"/>
      <c r="T160" s="9"/>
      <c r="U160" s="9"/>
      <c r="V160" s="9">
        <v>24.32</v>
      </c>
      <c r="W160" s="9">
        <v>100.68</v>
      </c>
      <c r="X160" s="9"/>
      <c r="Y160" s="9"/>
      <c r="AA160" s="9"/>
      <c r="AB160" s="9"/>
      <c r="AC160" s="9"/>
      <c r="AD160" s="9"/>
      <c r="AE160" s="9"/>
      <c r="AF160" s="9">
        <v>47.3</v>
      </c>
      <c r="AG160" s="9">
        <v>20.86</v>
      </c>
      <c r="AH160" s="9"/>
      <c r="AJ160" s="10">
        <v>26.64</v>
      </c>
      <c r="AL160" s="206"/>
      <c r="AM160" s="206">
        <v>17.11</v>
      </c>
      <c r="AN160" s="206"/>
    </row>
    <row r="161" spans="1:40" s="10" customFormat="1" ht="39.950000000000003" customHeight="1" x14ac:dyDescent="0.25">
      <c r="A161" s="98">
        <v>1</v>
      </c>
      <c r="B161" s="70" t="s">
        <v>334</v>
      </c>
      <c r="C161" s="69" t="s">
        <v>335</v>
      </c>
      <c r="D161" s="70" t="s">
        <v>45</v>
      </c>
      <c r="E161" s="78">
        <v>52</v>
      </c>
      <c r="F161" s="77">
        <v>1500</v>
      </c>
      <c r="G161" s="77">
        <f t="shared" si="41"/>
        <v>78000</v>
      </c>
      <c r="H161" s="99">
        <f t="shared" si="46"/>
        <v>52</v>
      </c>
      <c r="I161" s="77">
        <f t="shared" si="42"/>
        <v>78000</v>
      </c>
      <c r="J161" s="180"/>
      <c r="K161" s="75">
        <f t="shared" si="43"/>
        <v>0</v>
      </c>
      <c r="L161" s="100">
        <f t="shared" si="44"/>
        <v>0</v>
      </c>
      <c r="M161" s="77">
        <f t="shared" si="45"/>
        <v>0</v>
      </c>
      <c r="N161" s="223">
        <f t="shared" si="47"/>
        <v>1</v>
      </c>
      <c r="O161" s="8"/>
      <c r="P161" s="9">
        <f t="shared" si="40"/>
        <v>52</v>
      </c>
      <c r="Q161" s="9"/>
      <c r="R161" s="9"/>
      <c r="S161" s="9"/>
      <c r="T161" s="9"/>
      <c r="U161" s="9"/>
      <c r="V161" s="9">
        <v>30</v>
      </c>
      <c r="W161" s="9"/>
      <c r="X161" s="9"/>
      <c r="Y161" s="9"/>
      <c r="AA161" s="9"/>
      <c r="AB161" s="9"/>
      <c r="AC161" s="9"/>
      <c r="AD161" s="9"/>
      <c r="AE161" s="9"/>
      <c r="AF161" s="9">
        <v>22</v>
      </c>
      <c r="AG161" s="9"/>
      <c r="AH161" s="9"/>
      <c r="AL161" s="206"/>
      <c r="AM161" s="206"/>
      <c r="AN161" s="206"/>
    </row>
    <row r="162" spans="1:40" s="10" customFormat="1" ht="39.950000000000003" customHeight="1" x14ac:dyDescent="0.25">
      <c r="A162" s="55">
        <v>1</v>
      </c>
      <c r="B162" s="53" t="s">
        <v>336</v>
      </c>
      <c r="C162" s="69" t="s">
        <v>337</v>
      </c>
      <c r="D162" s="53" t="s">
        <v>45</v>
      </c>
      <c r="E162" s="71">
        <v>170</v>
      </c>
      <c r="F162" s="73">
        <v>3960</v>
      </c>
      <c r="G162" s="73">
        <f t="shared" si="41"/>
        <v>673200</v>
      </c>
      <c r="H162" s="74">
        <f t="shared" si="46"/>
        <v>170</v>
      </c>
      <c r="I162" s="73">
        <f t="shared" si="42"/>
        <v>673200</v>
      </c>
      <c r="J162" s="180"/>
      <c r="K162" s="75">
        <f t="shared" si="43"/>
        <v>0</v>
      </c>
      <c r="L162" s="76">
        <f t="shared" si="44"/>
        <v>0</v>
      </c>
      <c r="M162" s="73">
        <f t="shared" si="45"/>
        <v>0</v>
      </c>
      <c r="N162" s="86">
        <f t="shared" si="47"/>
        <v>1</v>
      </c>
      <c r="O162" s="8"/>
      <c r="P162" s="9">
        <f t="shared" si="40"/>
        <v>170</v>
      </c>
      <c r="Q162" s="9"/>
      <c r="R162" s="9"/>
      <c r="S162" s="9"/>
      <c r="T162" s="9"/>
      <c r="U162" s="9"/>
      <c r="V162" s="9"/>
      <c r="W162" s="9">
        <v>16</v>
      </c>
      <c r="X162" s="9">
        <v>111</v>
      </c>
      <c r="Y162" s="9"/>
      <c r="AA162" s="9"/>
      <c r="AB162" s="9"/>
      <c r="AC162" s="9"/>
      <c r="AD162" s="9"/>
      <c r="AE162" s="9">
        <v>21.5</v>
      </c>
      <c r="AF162" s="9"/>
      <c r="AG162" s="9">
        <v>21.5</v>
      </c>
      <c r="AH162" s="9"/>
      <c r="AL162" s="206"/>
      <c r="AM162" s="206"/>
      <c r="AN162" s="206"/>
    </row>
    <row r="163" spans="1:40" s="10" customFormat="1" ht="39.950000000000003" customHeight="1" x14ac:dyDescent="0.25">
      <c r="A163" s="98">
        <v>1</v>
      </c>
      <c r="B163" s="70" t="s">
        <v>338</v>
      </c>
      <c r="C163" s="69" t="s">
        <v>339</v>
      </c>
      <c r="D163" s="70" t="s">
        <v>45</v>
      </c>
      <c r="E163" s="78">
        <v>60</v>
      </c>
      <c r="F163" s="77">
        <v>3960</v>
      </c>
      <c r="G163" s="77">
        <f t="shared" si="41"/>
        <v>237600</v>
      </c>
      <c r="H163" s="99">
        <f t="shared" si="46"/>
        <v>60</v>
      </c>
      <c r="I163" s="77">
        <f t="shared" si="42"/>
        <v>237600</v>
      </c>
      <c r="J163" s="181"/>
      <c r="K163" s="75">
        <f t="shared" si="43"/>
        <v>0</v>
      </c>
      <c r="L163" s="100">
        <f t="shared" si="44"/>
        <v>0</v>
      </c>
      <c r="M163" s="77">
        <f t="shared" si="45"/>
        <v>0</v>
      </c>
      <c r="N163" s="223">
        <f t="shared" si="47"/>
        <v>1</v>
      </c>
      <c r="O163" s="8"/>
      <c r="P163" s="9">
        <f t="shared" si="40"/>
        <v>60</v>
      </c>
      <c r="Q163" s="9"/>
      <c r="R163" s="9"/>
      <c r="S163" s="9"/>
      <c r="T163" s="9"/>
      <c r="U163" s="9"/>
      <c r="V163" s="9"/>
      <c r="W163" s="9">
        <v>60</v>
      </c>
      <c r="X163" s="9"/>
      <c r="Y163" s="9"/>
      <c r="AA163" s="9"/>
      <c r="AB163" s="9"/>
      <c r="AC163" s="9"/>
      <c r="AD163" s="9"/>
      <c r="AE163" s="9"/>
      <c r="AF163" s="9"/>
      <c r="AG163" s="9"/>
      <c r="AH163" s="9"/>
      <c r="AL163" s="202"/>
      <c r="AM163" s="202"/>
      <c r="AN163" s="202"/>
    </row>
    <row r="164" spans="1:40" s="10" customFormat="1" ht="39.950000000000003" customHeight="1" x14ac:dyDescent="0.25">
      <c r="A164" s="55">
        <v>1</v>
      </c>
      <c r="B164" s="53" t="s">
        <v>340</v>
      </c>
      <c r="C164" s="69" t="s">
        <v>341</v>
      </c>
      <c r="D164" s="53" t="s">
        <v>71</v>
      </c>
      <c r="E164" s="71">
        <v>1528.78</v>
      </c>
      <c r="F164" s="73">
        <v>84.45</v>
      </c>
      <c r="G164" s="73">
        <f t="shared" si="41"/>
        <v>129105.47</v>
      </c>
      <c r="H164" s="74">
        <f t="shared" si="46"/>
        <v>1452.08</v>
      </c>
      <c r="I164" s="73">
        <f t="shared" si="42"/>
        <v>122628.16</v>
      </c>
      <c r="J164" s="179">
        <v>794.76</v>
      </c>
      <c r="K164" s="75">
        <f t="shared" si="43"/>
        <v>67117.48</v>
      </c>
      <c r="L164" s="76">
        <f t="shared" si="44"/>
        <v>76.700000000000045</v>
      </c>
      <c r="M164" s="73">
        <f t="shared" si="45"/>
        <v>6477.31</v>
      </c>
      <c r="N164" s="86">
        <f t="shared" si="47"/>
        <v>0.9498293139709727</v>
      </c>
      <c r="O164" s="8"/>
      <c r="P164" s="9">
        <f t="shared" si="40"/>
        <v>657.31999999999994</v>
      </c>
      <c r="Q164" s="9"/>
      <c r="R164" s="9"/>
      <c r="S164" s="9"/>
      <c r="T164" s="9"/>
      <c r="U164" s="9"/>
      <c r="V164" s="9">
        <v>230.88</v>
      </c>
      <c r="W164" s="9">
        <v>65.22</v>
      </c>
      <c r="X164" s="9"/>
      <c r="Y164" s="9"/>
      <c r="AA164" s="9">
        <v>106.93</v>
      </c>
      <c r="AB164" s="9"/>
      <c r="AC164" s="9"/>
      <c r="AD164" s="9"/>
      <c r="AE164" s="9"/>
      <c r="AF164" s="9"/>
      <c r="AG164" s="9"/>
      <c r="AH164" s="9">
        <v>121.72</v>
      </c>
      <c r="AI164" s="10">
        <v>132.57</v>
      </c>
      <c r="AL164" s="205"/>
      <c r="AM164" s="205"/>
      <c r="AN164" s="205"/>
    </row>
    <row r="165" spans="1:40" s="10" customFormat="1" ht="39.950000000000003" customHeight="1" x14ac:dyDescent="0.25">
      <c r="A165" s="98">
        <v>1</v>
      </c>
      <c r="B165" s="70" t="s">
        <v>342</v>
      </c>
      <c r="C165" s="69" t="s">
        <v>343</v>
      </c>
      <c r="D165" s="70" t="s">
        <v>93</v>
      </c>
      <c r="E165" s="78">
        <v>349.02</v>
      </c>
      <c r="F165" s="77">
        <v>375.5</v>
      </c>
      <c r="G165" s="77">
        <f t="shared" si="41"/>
        <v>131057.01</v>
      </c>
      <c r="H165" s="99">
        <f t="shared" si="46"/>
        <v>349.02</v>
      </c>
      <c r="I165" s="77">
        <f t="shared" si="42"/>
        <v>131057.01</v>
      </c>
      <c r="J165" s="179">
        <v>154.41</v>
      </c>
      <c r="K165" s="75">
        <f t="shared" si="43"/>
        <v>57980.959999999999</v>
      </c>
      <c r="L165" s="100">
        <f t="shared" si="44"/>
        <v>0</v>
      </c>
      <c r="M165" s="77">
        <f t="shared" si="45"/>
        <v>0</v>
      </c>
      <c r="N165" s="59">
        <f t="shared" si="47"/>
        <v>1</v>
      </c>
      <c r="O165" s="116"/>
      <c r="P165" s="9">
        <f t="shared" si="40"/>
        <v>194.61</v>
      </c>
      <c r="Q165" s="9"/>
      <c r="R165" s="9"/>
      <c r="S165" s="9"/>
      <c r="T165" s="9"/>
      <c r="U165" s="9"/>
      <c r="V165" s="9">
        <v>29.82</v>
      </c>
      <c r="W165" s="9">
        <v>38.18</v>
      </c>
      <c r="X165" s="9"/>
      <c r="Y165" s="9"/>
      <c r="AA165" s="9"/>
      <c r="AB165" s="9"/>
      <c r="AC165" s="9"/>
      <c r="AD165" s="9"/>
      <c r="AE165" s="9"/>
      <c r="AF165" s="9"/>
      <c r="AG165" s="9"/>
      <c r="AH165" s="9">
        <v>32.17</v>
      </c>
      <c r="AI165" s="10">
        <v>67.87</v>
      </c>
      <c r="AJ165" s="10">
        <v>26.57</v>
      </c>
      <c r="AL165" s="205"/>
      <c r="AM165" s="205"/>
      <c r="AN165" s="205"/>
    </row>
    <row r="166" spans="1:40" s="10" customFormat="1" ht="39.950000000000003" customHeight="1" x14ac:dyDescent="0.25">
      <c r="A166" s="55">
        <v>1</v>
      </c>
      <c r="B166" s="53" t="s">
        <v>344</v>
      </c>
      <c r="C166" s="89" t="s">
        <v>145</v>
      </c>
      <c r="D166" s="53" t="s">
        <v>146</v>
      </c>
      <c r="E166" s="78">
        <v>30814.45</v>
      </c>
      <c r="F166" s="73">
        <v>6.78</v>
      </c>
      <c r="G166" s="73">
        <f t="shared" si="41"/>
        <v>208921.97</v>
      </c>
      <c r="H166" s="74">
        <f t="shared" si="46"/>
        <v>30814.449999999997</v>
      </c>
      <c r="I166" s="73">
        <f t="shared" si="42"/>
        <v>208921.97</v>
      </c>
      <c r="J166" s="179">
        <v>14436.24</v>
      </c>
      <c r="K166" s="75">
        <f t="shared" si="43"/>
        <v>97877.71</v>
      </c>
      <c r="L166" s="76">
        <f t="shared" si="44"/>
        <v>0</v>
      </c>
      <c r="M166" s="73">
        <f t="shared" si="45"/>
        <v>0</v>
      </c>
      <c r="N166" s="86">
        <f t="shared" si="47"/>
        <v>1</v>
      </c>
      <c r="O166" s="8"/>
      <c r="P166" s="9">
        <f t="shared" si="40"/>
        <v>16378.21</v>
      </c>
      <c r="Q166" s="9"/>
      <c r="R166" s="9"/>
      <c r="S166" s="9"/>
      <c r="T166" s="9"/>
      <c r="U166" s="9"/>
      <c r="V166" s="9">
        <v>2286</v>
      </c>
      <c r="W166" s="9"/>
      <c r="X166" s="9"/>
      <c r="Y166" s="9"/>
      <c r="AA166" s="9">
        <v>4262</v>
      </c>
      <c r="AB166" s="9"/>
      <c r="AC166" s="9"/>
      <c r="AD166" s="9"/>
      <c r="AE166" s="9"/>
      <c r="AF166" s="9"/>
      <c r="AG166" s="9"/>
      <c r="AH166" s="9">
        <v>3867.68</v>
      </c>
      <c r="AJ166" s="10">
        <v>5962.53</v>
      </c>
      <c r="AL166" s="205"/>
      <c r="AM166" s="205"/>
      <c r="AN166" s="205"/>
    </row>
    <row r="167" spans="1:40" s="10" customFormat="1" ht="39.950000000000003" customHeight="1" x14ac:dyDescent="0.25">
      <c r="A167" s="98">
        <v>1</v>
      </c>
      <c r="B167" s="70" t="s">
        <v>345</v>
      </c>
      <c r="C167" s="69" t="s">
        <v>346</v>
      </c>
      <c r="D167" s="70" t="s">
        <v>320</v>
      </c>
      <c r="E167" s="78">
        <v>19985.684125</v>
      </c>
      <c r="F167" s="77">
        <v>3.75</v>
      </c>
      <c r="G167" s="73">
        <f t="shared" si="41"/>
        <v>74946.320000000007</v>
      </c>
      <c r="H167" s="99">
        <f t="shared" si="46"/>
        <v>19985.68</v>
      </c>
      <c r="I167" s="77">
        <f t="shared" si="42"/>
        <v>74946.3</v>
      </c>
      <c r="J167" s="179"/>
      <c r="K167" s="75">
        <f t="shared" si="43"/>
        <v>0</v>
      </c>
      <c r="L167" s="100">
        <f t="shared" si="44"/>
        <v>4.1249999994761311E-3</v>
      </c>
      <c r="M167" s="73">
        <f t="shared" si="45"/>
        <v>0.02</v>
      </c>
      <c r="N167" s="59">
        <f t="shared" si="47"/>
        <v>0.99999973314233437</v>
      </c>
      <c r="O167" s="8"/>
      <c r="P167" s="9">
        <f t="shared" si="40"/>
        <v>19985.68</v>
      </c>
      <c r="Q167" s="9"/>
      <c r="R167" s="9"/>
      <c r="S167" s="9"/>
      <c r="T167" s="9"/>
      <c r="U167" s="9"/>
      <c r="V167" s="9">
        <v>1533.25</v>
      </c>
      <c r="W167" s="9">
        <v>6546.75</v>
      </c>
      <c r="X167" s="9"/>
      <c r="Y167" s="9"/>
      <c r="AA167" s="9"/>
      <c r="AB167" s="9"/>
      <c r="AC167" s="9"/>
      <c r="AD167" s="9"/>
      <c r="AE167" s="9"/>
      <c r="AF167" s="9">
        <v>10749</v>
      </c>
      <c r="AG167" s="9"/>
      <c r="AH167" s="9">
        <v>1156.68</v>
      </c>
      <c r="AL167" s="205"/>
      <c r="AM167" s="205"/>
      <c r="AN167" s="205"/>
    </row>
    <row r="168" spans="1:40" s="10" customFormat="1" ht="39.950000000000003" hidden="1" customHeight="1" x14ac:dyDescent="0.25">
      <c r="A168" s="226">
        <v>1</v>
      </c>
      <c r="B168" s="239" t="s">
        <v>347</v>
      </c>
      <c r="C168" s="238" t="s">
        <v>348</v>
      </c>
      <c r="D168" s="239" t="s">
        <v>323</v>
      </c>
      <c r="E168" s="229">
        <v>0</v>
      </c>
      <c r="F168" s="231">
        <v>0.77</v>
      </c>
      <c r="G168" s="231">
        <f t="shared" si="41"/>
        <v>0</v>
      </c>
      <c r="H168" s="232"/>
      <c r="I168" s="231">
        <f t="shared" si="42"/>
        <v>0</v>
      </c>
      <c r="J168" s="241"/>
      <c r="K168" s="242">
        <f t="shared" si="43"/>
        <v>0</v>
      </c>
      <c r="L168" s="235">
        <f t="shared" si="44"/>
        <v>0</v>
      </c>
      <c r="M168" s="231">
        <f t="shared" si="45"/>
        <v>0</v>
      </c>
      <c r="N168" s="237">
        <v>0</v>
      </c>
      <c r="O168" s="8"/>
      <c r="P168" s="9">
        <f t="shared" si="40"/>
        <v>0</v>
      </c>
      <c r="Q168" s="9"/>
      <c r="R168" s="9"/>
      <c r="S168" s="9"/>
      <c r="T168" s="9"/>
      <c r="U168" s="9"/>
      <c r="V168" s="9">
        <v>30665</v>
      </c>
      <c r="W168" s="9"/>
      <c r="X168" s="9"/>
      <c r="Y168" s="9"/>
      <c r="AA168" s="9"/>
      <c r="AB168" s="9"/>
      <c r="AC168" s="9"/>
      <c r="AD168" s="9"/>
      <c r="AE168" s="9"/>
      <c r="AF168" s="9">
        <v>-30665</v>
      </c>
      <c r="AG168" s="9"/>
      <c r="AH168" s="9"/>
      <c r="AL168" s="207"/>
      <c r="AM168" s="207"/>
      <c r="AN168" s="207"/>
    </row>
    <row r="169" spans="1:40" s="10" customFormat="1" ht="39.950000000000003" customHeight="1" x14ac:dyDescent="0.25">
      <c r="A169" s="98">
        <v>1</v>
      </c>
      <c r="B169" s="70" t="s">
        <v>349</v>
      </c>
      <c r="C169" s="69" t="s">
        <v>350</v>
      </c>
      <c r="D169" s="70" t="s">
        <v>320</v>
      </c>
      <c r="E169" s="78">
        <v>9479.8462999999992</v>
      </c>
      <c r="F169" s="77">
        <v>2.65</v>
      </c>
      <c r="G169" s="73">
        <f t="shared" si="41"/>
        <v>25121.59</v>
      </c>
      <c r="H169" s="99">
        <f>P169+J169</f>
        <v>9479.84</v>
      </c>
      <c r="I169" s="77">
        <f t="shared" si="42"/>
        <v>25121.58</v>
      </c>
      <c r="J169" s="179"/>
      <c r="K169" s="75">
        <f t="shared" si="43"/>
        <v>0</v>
      </c>
      <c r="L169" s="100">
        <f t="shared" si="44"/>
        <v>6.2999999991006916E-3</v>
      </c>
      <c r="M169" s="73">
        <f t="shared" si="45"/>
        <v>0.01</v>
      </c>
      <c r="N169" s="59">
        <f>IF(G169=0,"",I169/G169)</f>
        <v>0.999999601936024</v>
      </c>
      <c r="O169" s="8"/>
      <c r="P169" s="9">
        <f t="shared" si="40"/>
        <v>9479.84</v>
      </c>
      <c r="Q169" s="9"/>
      <c r="R169" s="9"/>
      <c r="S169" s="9"/>
      <c r="T169" s="9"/>
      <c r="U169" s="9"/>
      <c r="V169" s="9"/>
      <c r="W169" s="9">
        <v>6495.78</v>
      </c>
      <c r="X169" s="9">
        <v>745.18</v>
      </c>
      <c r="Y169" s="9">
        <v>839.04</v>
      </c>
      <c r="AA169" s="9"/>
      <c r="AB169" s="9"/>
      <c r="AC169" s="9"/>
      <c r="AD169" s="9"/>
      <c r="AE169" s="9"/>
      <c r="AF169" s="9">
        <v>1279</v>
      </c>
      <c r="AG169" s="9"/>
      <c r="AH169" s="9">
        <v>120.84</v>
      </c>
      <c r="AL169" s="205"/>
      <c r="AM169" s="205"/>
      <c r="AN169" s="205"/>
    </row>
    <row r="170" spans="1:40" s="10" customFormat="1" ht="39.950000000000003" customHeight="1" x14ac:dyDescent="0.25">
      <c r="A170" s="98">
        <v>1</v>
      </c>
      <c r="B170" s="70" t="s">
        <v>351</v>
      </c>
      <c r="C170" s="69" t="s">
        <v>263</v>
      </c>
      <c r="D170" s="70" t="s">
        <v>45</v>
      </c>
      <c r="E170" s="78">
        <v>142</v>
      </c>
      <c r="F170" s="77">
        <v>821.25</v>
      </c>
      <c r="G170" s="77">
        <f t="shared" si="41"/>
        <v>116617.5</v>
      </c>
      <c r="H170" s="99">
        <f>P170+J170</f>
        <v>142</v>
      </c>
      <c r="I170" s="77">
        <f t="shared" si="42"/>
        <v>116617.5</v>
      </c>
      <c r="J170" s="180"/>
      <c r="K170" s="75">
        <f t="shared" si="43"/>
        <v>0</v>
      </c>
      <c r="L170" s="100">
        <f t="shared" si="44"/>
        <v>0</v>
      </c>
      <c r="M170" s="77">
        <f t="shared" si="45"/>
        <v>0</v>
      </c>
      <c r="N170" s="223">
        <f>IF(G170=0,"",I170/G170)</f>
        <v>1</v>
      </c>
      <c r="O170" s="8"/>
      <c r="P170" s="9">
        <f t="shared" si="40"/>
        <v>142</v>
      </c>
      <c r="Q170" s="9"/>
      <c r="R170" s="9"/>
      <c r="S170" s="9"/>
      <c r="T170" s="9"/>
      <c r="U170" s="9">
        <v>109</v>
      </c>
      <c r="V170" s="9">
        <v>31</v>
      </c>
      <c r="W170" s="9"/>
      <c r="X170" s="9"/>
      <c r="Y170" s="9"/>
      <c r="AA170" s="9"/>
      <c r="AB170" s="9"/>
      <c r="AC170" s="9"/>
      <c r="AD170" s="9"/>
      <c r="AE170" s="9"/>
      <c r="AF170" s="9">
        <v>2</v>
      </c>
      <c r="AG170" s="9"/>
      <c r="AH170" s="9"/>
      <c r="AL170" s="206"/>
      <c r="AM170" s="206"/>
      <c r="AN170" s="206"/>
    </row>
    <row r="171" spans="1:40" s="10" customFormat="1" ht="39.950000000000003" customHeight="1" x14ac:dyDescent="0.25">
      <c r="A171" s="274" t="s">
        <v>352</v>
      </c>
      <c r="B171" s="274"/>
      <c r="C171" s="274"/>
      <c r="D171" s="274"/>
      <c r="E171" s="274"/>
      <c r="F171" s="274"/>
      <c r="G171" s="79">
        <f>SUM(G152:G170)</f>
        <v>2303461.46</v>
      </c>
      <c r="H171" s="80"/>
      <c r="I171" s="79">
        <f>SUM(I152:I170)</f>
        <v>2191175.5300000003</v>
      </c>
      <c r="J171" s="181"/>
      <c r="K171" s="79">
        <f>SUM(K152:K170)</f>
        <v>227772.61</v>
      </c>
      <c r="L171" s="82"/>
      <c r="M171" s="79">
        <f>SUM(M152:M170)</f>
        <v>112285.93000000001</v>
      </c>
      <c r="N171" s="93">
        <f>IF(G171=0,"",I171/G171)</f>
        <v>0.95125339323020419</v>
      </c>
      <c r="O171" s="8"/>
      <c r="P171" s="9">
        <f t="shared" si="40"/>
        <v>0</v>
      </c>
      <c r="Q171" s="9"/>
      <c r="R171" s="9"/>
      <c r="S171" s="9"/>
      <c r="T171" s="9"/>
      <c r="U171" s="9"/>
      <c r="V171" s="9"/>
      <c r="W171" s="9"/>
      <c r="X171" s="9"/>
      <c r="Y171" s="9"/>
      <c r="AA171" s="9"/>
      <c r="AB171" s="9"/>
      <c r="AC171" s="9"/>
      <c r="AD171" s="9"/>
      <c r="AE171" s="9"/>
      <c r="AF171" s="9"/>
      <c r="AG171" s="9"/>
      <c r="AH171" s="9"/>
      <c r="AL171" s="202"/>
      <c r="AM171" s="202"/>
      <c r="AN171" s="202"/>
    </row>
    <row r="172" spans="1:40" s="10" customFormat="1" ht="39.950000000000003" customHeight="1" x14ac:dyDescent="0.25">
      <c r="A172" s="68">
        <v>1</v>
      </c>
      <c r="B172" s="68" t="s">
        <v>353</v>
      </c>
      <c r="C172" s="83" t="s">
        <v>354</v>
      </c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221"/>
      <c r="O172" s="8"/>
      <c r="P172" s="9">
        <f t="shared" si="40"/>
        <v>0</v>
      </c>
      <c r="Q172" s="9"/>
      <c r="R172" s="9"/>
      <c r="S172" s="9"/>
      <c r="T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F172" s="9"/>
      <c r="AG172" s="9"/>
      <c r="AH172" s="9"/>
      <c r="AL172" s="203"/>
      <c r="AM172" s="203"/>
      <c r="AN172" s="203"/>
    </row>
    <row r="173" spans="1:40" s="10" customFormat="1" ht="39.950000000000003" customHeight="1" x14ac:dyDescent="0.25">
      <c r="A173" s="55">
        <v>1</v>
      </c>
      <c r="B173" s="55" t="s">
        <v>355</v>
      </c>
      <c r="C173" s="117" t="s">
        <v>356</v>
      </c>
      <c r="D173" s="118" t="s">
        <v>93</v>
      </c>
      <c r="E173" s="90">
        <v>9854.24</v>
      </c>
      <c r="F173" s="73">
        <v>10.25</v>
      </c>
      <c r="G173" s="77">
        <f t="shared" ref="G173:G184" si="48">ROUND(E173*F173,2)</f>
        <v>101005.96</v>
      </c>
      <c r="H173" s="74">
        <f>P173+J173</f>
        <v>4947.83</v>
      </c>
      <c r="I173" s="77">
        <f t="shared" ref="I173:I184" si="49">ROUND(H173*F173,2)</f>
        <v>50715.26</v>
      </c>
      <c r="J173" s="181"/>
      <c r="K173" s="75">
        <f t="shared" ref="K173:K184" si="50">ROUND(J173*F173,2)</f>
        <v>0</v>
      </c>
      <c r="L173" s="76">
        <f t="shared" ref="L173:L184" si="51">E173-H173</f>
        <v>4906.41</v>
      </c>
      <c r="M173" s="73">
        <f t="shared" ref="M173:M184" si="52">ROUND(G173-I173,2)</f>
        <v>50290.7</v>
      </c>
      <c r="N173" s="86">
        <f>IF(G173=0,"",I173/G173)</f>
        <v>0.50210165815957786</v>
      </c>
      <c r="O173" s="8"/>
      <c r="P173" s="9">
        <f t="shared" si="40"/>
        <v>4947.83</v>
      </c>
      <c r="Q173" s="9"/>
      <c r="R173" s="9"/>
      <c r="S173" s="9"/>
      <c r="T173" s="9">
        <v>1022.5</v>
      </c>
      <c r="U173" s="9">
        <v>840</v>
      </c>
      <c r="V173" s="9">
        <v>1234.7</v>
      </c>
      <c r="W173" s="9">
        <v>161.81</v>
      </c>
      <c r="X173" s="9"/>
      <c r="Y173" s="9"/>
      <c r="Z173" s="10">
        <v>894.09</v>
      </c>
      <c r="AA173" s="9"/>
      <c r="AB173" s="9"/>
      <c r="AC173" s="9"/>
      <c r="AD173" s="9"/>
      <c r="AE173" s="9"/>
      <c r="AF173" s="9"/>
      <c r="AG173" s="9"/>
      <c r="AH173" s="9"/>
      <c r="AI173" s="10">
        <v>794.73</v>
      </c>
      <c r="AL173" s="202"/>
      <c r="AM173" s="202"/>
      <c r="AN173" s="202"/>
    </row>
    <row r="174" spans="1:40" s="10" customFormat="1" ht="39.950000000000003" hidden="1" customHeight="1" x14ac:dyDescent="0.25">
      <c r="A174" s="226">
        <v>1</v>
      </c>
      <c r="B174" s="226" t="s">
        <v>357</v>
      </c>
      <c r="C174" s="260" t="s">
        <v>358</v>
      </c>
      <c r="D174" s="261" t="s">
        <v>96</v>
      </c>
      <c r="E174" s="262">
        <v>0</v>
      </c>
      <c r="F174" s="231">
        <v>0.96</v>
      </c>
      <c r="G174" s="231">
        <f t="shared" si="48"/>
        <v>0</v>
      </c>
      <c r="H174" s="232"/>
      <c r="I174" s="231">
        <f t="shared" si="49"/>
        <v>0</v>
      </c>
      <c r="J174" s="241"/>
      <c r="K174" s="242">
        <f t="shared" si="50"/>
        <v>0</v>
      </c>
      <c r="L174" s="235">
        <f t="shared" si="51"/>
        <v>0</v>
      </c>
      <c r="M174" s="231">
        <f t="shared" si="52"/>
        <v>0</v>
      </c>
      <c r="N174" s="237">
        <v>0</v>
      </c>
      <c r="O174" s="8"/>
      <c r="P174" s="9">
        <f t="shared" si="40"/>
        <v>0</v>
      </c>
      <c r="Q174" s="9"/>
      <c r="R174" s="9"/>
      <c r="S174" s="9"/>
      <c r="T174" s="9">
        <v>20450</v>
      </c>
      <c r="U174" s="9">
        <v>16800</v>
      </c>
      <c r="V174" s="9">
        <v>24694</v>
      </c>
      <c r="W174" s="9"/>
      <c r="X174" s="9"/>
      <c r="Y174" s="9"/>
      <c r="AA174" s="9"/>
      <c r="AB174" s="9"/>
      <c r="AC174" s="9"/>
      <c r="AD174" s="9"/>
      <c r="AE174" s="9"/>
      <c r="AF174" s="9">
        <v>-61944</v>
      </c>
      <c r="AG174" s="9"/>
      <c r="AH174" s="9"/>
      <c r="AL174" s="207"/>
      <c r="AM174" s="207"/>
      <c r="AN174" s="207"/>
    </row>
    <row r="175" spans="1:40" s="10" customFormat="1" ht="39.950000000000003" hidden="1" customHeight="1" x14ac:dyDescent="0.25">
      <c r="A175" s="226">
        <v>1</v>
      </c>
      <c r="B175" s="226" t="s">
        <v>359</v>
      </c>
      <c r="C175" s="260" t="s">
        <v>325</v>
      </c>
      <c r="D175" s="261" t="s">
        <v>326</v>
      </c>
      <c r="E175" s="262">
        <v>0</v>
      </c>
      <c r="F175" s="231">
        <v>15</v>
      </c>
      <c r="G175" s="231">
        <f t="shared" si="48"/>
        <v>0</v>
      </c>
      <c r="H175" s="232"/>
      <c r="I175" s="231">
        <f t="shared" si="49"/>
        <v>0</v>
      </c>
      <c r="J175" s="241"/>
      <c r="K175" s="242">
        <f t="shared" si="50"/>
        <v>0</v>
      </c>
      <c r="L175" s="235">
        <f t="shared" si="51"/>
        <v>0</v>
      </c>
      <c r="M175" s="231">
        <f t="shared" si="52"/>
        <v>0</v>
      </c>
      <c r="N175" s="237">
        <v>0</v>
      </c>
      <c r="O175" s="8"/>
      <c r="P175" s="9">
        <f t="shared" si="40"/>
        <v>0</v>
      </c>
      <c r="Q175" s="9"/>
      <c r="R175" s="9"/>
      <c r="S175" s="9"/>
      <c r="T175" s="9"/>
      <c r="U175" s="9">
        <v>3352.5</v>
      </c>
      <c r="V175" s="9">
        <v>2222.46</v>
      </c>
      <c r="W175" s="9"/>
      <c r="X175" s="9"/>
      <c r="Y175" s="9"/>
      <c r="AA175" s="9"/>
      <c r="AB175" s="9"/>
      <c r="AC175" s="9"/>
      <c r="AD175" s="9"/>
      <c r="AE175" s="9"/>
      <c r="AF175" s="9">
        <v>-5574.96</v>
      </c>
      <c r="AG175" s="9"/>
      <c r="AH175" s="9"/>
      <c r="AL175" s="207"/>
      <c r="AM175" s="207"/>
      <c r="AN175" s="207"/>
    </row>
    <row r="176" spans="1:40" s="10" customFormat="1" ht="39.950000000000003" customHeight="1" x14ac:dyDescent="0.25">
      <c r="A176" s="98">
        <v>1</v>
      </c>
      <c r="B176" s="98" t="s">
        <v>360</v>
      </c>
      <c r="C176" s="119" t="s">
        <v>361</v>
      </c>
      <c r="D176" s="114" t="s">
        <v>93</v>
      </c>
      <c r="E176" s="85">
        <v>3998.43</v>
      </c>
      <c r="F176" s="77">
        <v>77.83</v>
      </c>
      <c r="G176" s="77">
        <f t="shared" si="48"/>
        <v>311197.81</v>
      </c>
      <c r="H176" s="99">
        <f t="shared" ref="H176:H182" si="53">P176+J176</f>
        <v>3998.4300000000003</v>
      </c>
      <c r="I176" s="77">
        <f t="shared" si="49"/>
        <v>311197.81</v>
      </c>
      <c r="J176" s="180">
        <v>794.73</v>
      </c>
      <c r="K176" s="75">
        <f t="shared" si="50"/>
        <v>61853.84</v>
      </c>
      <c r="L176" s="100">
        <f t="shared" si="51"/>
        <v>0</v>
      </c>
      <c r="M176" s="77">
        <f t="shared" si="52"/>
        <v>0</v>
      </c>
      <c r="N176" s="223">
        <f t="shared" ref="N176:N182" si="54">IF(G176=0,"",I176/G176)</f>
        <v>1</v>
      </c>
      <c r="O176" s="8"/>
      <c r="P176" s="9">
        <f t="shared" si="40"/>
        <v>3203.7000000000003</v>
      </c>
      <c r="Q176" s="9"/>
      <c r="R176" s="9"/>
      <c r="S176" s="9"/>
      <c r="T176" s="9">
        <v>371</v>
      </c>
      <c r="U176" s="9">
        <v>350</v>
      </c>
      <c r="V176" s="9">
        <v>1195.99</v>
      </c>
      <c r="W176" s="9">
        <v>-981.63</v>
      </c>
      <c r="X176" s="9"/>
      <c r="Y176" s="9"/>
      <c r="AA176" s="9"/>
      <c r="AB176" s="9"/>
      <c r="AC176" s="9"/>
      <c r="AD176" s="9"/>
      <c r="AE176" s="9"/>
      <c r="AF176" s="9">
        <v>2268.34</v>
      </c>
      <c r="AG176" s="9"/>
      <c r="AH176" s="9"/>
      <c r="AL176" s="206"/>
      <c r="AM176" s="206"/>
      <c r="AN176" s="206"/>
    </row>
    <row r="177" spans="1:40" s="10" customFormat="1" ht="64.5" customHeight="1" x14ac:dyDescent="0.25">
      <c r="A177" s="98">
        <v>1</v>
      </c>
      <c r="B177" s="98" t="s">
        <v>362</v>
      </c>
      <c r="C177" s="120" t="s">
        <v>363</v>
      </c>
      <c r="D177" s="114" t="s">
        <v>93</v>
      </c>
      <c r="E177" s="121">
        <v>391.75</v>
      </c>
      <c r="F177" s="77">
        <v>512.13</v>
      </c>
      <c r="G177" s="77">
        <f t="shared" si="48"/>
        <v>200626.93</v>
      </c>
      <c r="H177" s="99">
        <f t="shared" si="53"/>
        <v>391.75</v>
      </c>
      <c r="I177" s="77">
        <f t="shared" si="49"/>
        <v>200626.93</v>
      </c>
      <c r="J177" s="180"/>
      <c r="K177" s="75">
        <f t="shared" si="50"/>
        <v>0</v>
      </c>
      <c r="L177" s="100">
        <f t="shared" si="51"/>
        <v>0</v>
      </c>
      <c r="M177" s="77">
        <f t="shared" si="52"/>
        <v>0</v>
      </c>
      <c r="N177" s="59">
        <f t="shared" si="54"/>
        <v>1</v>
      </c>
      <c r="O177" s="8"/>
      <c r="P177" s="9">
        <f t="shared" si="40"/>
        <v>391.75</v>
      </c>
      <c r="Q177" s="9"/>
      <c r="R177" s="9"/>
      <c r="S177" s="9">
        <v>71</v>
      </c>
      <c r="T177" s="9">
        <v>27.2</v>
      </c>
      <c r="U177" s="9">
        <v>27.2</v>
      </c>
      <c r="V177" s="9">
        <v>60.66</v>
      </c>
      <c r="W177" s="9">
        <v>98.19</v>
      </c>
      <c r="X177" s="9"/>
      <c r="Y177" s="9"/>
      <c r="AA177" s="9"/>
      <c r="AB177" s="9"/>
      <c r="AC177" s="9"/>
      <c r="AD177" s="9"/>
      <c r="AE177" s="9"/>
      <c r="AF177" s="9">
        <v>81.25</v>
      </c>
      <c r="AG177" s="9">
        <v>26.25</v>
      </c>
      <c r="AH177" s="9"/>
      <c r="AL177" s="206"/>
      <c r="AM177" s="206"/>
      <c r="AN177" s="206"/>
    </row>
    <row r="178" spans="1:40" s="10" customFormat="1" ht="72.75" customHeight="1" x14ac:dyDescent="0.25">
      <c r="A178" s="98">
        <v>1</v>
      </c>
      <c r="B178" s="98" t="s">
        <v>364</v>
      </c>
      <c r="C178" s="120" t="s">
        <v>365</v>
      </c>
      <c r="D178" s="114" t="s">
        <v>93</v>
      </c>
      <c r="E178" s="121">
        <v>3499.5</v>
      </c>
      <c r="F178" s="77">
        <v>406.9</v>
      </c>
      <c r="G178" s="77">
        <f t="shared" si="48"/>
        <v>1423946.55</v>
      </c>
      <c r="H178" s="99">
        <f t="shared" si="53"/>
        <v>3499.5</v>
      </c>
      <c r="I178" s="77">
        <f t="shared" si="49"/>
        <v>1423946.55</v>
      </c>
      <c r="J178" s="179">
        <v>28</v>
      </c>
      <c r="K178" s="75">
        <f t="shared" si="50"/>
        <v>11393.2</v>
      </c>
      <c r="L178" s="100">
        <f t="shared" si="51"/>
        <v>0</v>
      </c>
      <c r="M178" s="77">
        <f t="shared" si="52"/>
        <v>0</v>
      </c>
      <c r="N178" s="59">
        <f t="shared" si="54"/>
        <v>1</v>
      </c>
      <c r="O178" s="8"/>
      <c r="P178" s="9">
        <f t="shared" si="40"/>
        <v>3471.5</v>
      </c>
      <c r="Q178" s="9"/>
      <c r="R178" s="9"/>
      <c r="S178" s="9">
        <v>430</v>
      </c>
      <c r="T178" s="9">
        <v>202.5</v>
      </c>
      <c r="U178" s="9">
        <v>202.5</v>
      </c>
      <c r="V178" s="9">
        <v>485.35</v>
      </c>
      <c r="W178" s="9">
        <v>413.15</v>
      </c>
      <c r="X178" s="9"/>
      <c r="Y178" s="9"/>
      <c r="AA178" s="9"/>
      <c r="AB178" s="9"/>
      <c r="AC178" s="9"/>
      <c r="AD178" s="9"/>
      <c r="AE178" s="9"/>
      <c r="AF178" s="9">
        <v>1351.5</v>
      </c>
      <c r="AG178" s="9">
        <v>210</v>
      </c>
      <c r="AH178" s="9">
        <v>176.5</v>
      </c>
      <c r="AL178" s="205"/>
      <c r="AM178" s="205"/>
      <c r="AN178" s="205"/>
    </row>
    <row r="179" spans="1:40" s="10" customFormat="1" ht="78" customHeight="1" x14ac:dyDescent="0.25">
      <c r="A179" s="98">
        <v>1</v>
      </c>
      <c r="B179" s="98" t="s">
        <v>366</v>
      </c>
      <c r="C179" s="122" t="s">
        <v>367</v>
      </c>
      <c r="D179" s="114" t="s">
        <v>71</v>
      </c>
      <c r="E179" s="121">
        <v>1494</v>
      </c>
      <c r="F179" s="77">
        <v>173.47</v>
      </c>
      <c r="G179" s="77">
        <f t="shared" si="48"/>
        <v>259164.18</v>
      </c>
      <c r="H179" s="99">
        <f t="shared" si="53"/>
        <v>1494</v>
      </c>
      <c r="I179" s="77">
        <f t="shared" si="49"/>
        <v>259164.18</v>
      </c>
      <c r="J179" s="179">
        <v>18</v>
      </c>
      <c r="K179" s="75">
        <f t="shared" si="50"/>
        <v>3122.46</v>
      </c>
      <c r="L179" s="100">
        <f t="shared" si="51"/>
        <v>0</v>
      </c>
      <c r="M179" s="77">
        <f t="shared" si="52"/>
        <v>0</v>
      </c>
      <c r="N179" s="86">
        <f t="shared" si="54"/>
        <v>1</v>
      </c>
      <c r="O179" s="8"/>
      <c r="P179" s="9">
        <f t="shared" si="40"/>
        <v>1476</v>
      </c>
      <c r="Q179" s="9"/>
      <c r="R179" s="9"/>
      <c r="S179" s="9">
        <v>278.3</v>
      </c>
      <c r="T179" s="9">
        <v>108</v>
      </c>
      <c r="U179" s="9">
        <v>108</v>
      </c>
      <c r="V179" s="9">
        <v>184</v>
      </c>
      <c r="W179" s="9">
        <v>71.7</v>
      </c>
      <c r="X179" s="9"/>
      <c r="Y179" s="9"/>
      <c r="AA179" s="9"/>
      <c r="AB179" s="9">
        <v>364</v>
      </c>
      <c r="AC179" s="9"/>
      <c r="AD179" s="9"/>
      <c r="AE179" s="9"/>
      <c r="AF179" s="9">
        <v>254</v>
      </c>
      <c r="AG179" s="9">
        <v>48</v>
      </c>
      <c r="AH179" s="9">
        <v>60</v>
      </c>
      <c r="AL179" s="205"/>
      <c r="AM179" s="205"/>
      <c r="AN179" s="205"/>
    </row>
    <row r="180" spans="1:40" s="10" customFormat="1" ht="61.5" customHeight="1" x14ac:dyDescent="0.25">
      <c r="A180" s="98">
        <v>1</v>
      </c>
      <c r="B180" s="98" t="s">
        <v>368</v>
      </c>
      <c r="C180" s="122" t="s">
        <v>369</v>
      </c>
      <c r="D180" s="114" t="s">
        <v>71</v>
      </c>
      <c r="E180" s="121">
        <v>8050</v>
      </c>
      <c r="F180" s="77">
        <v>9.65</v>
      </c>
      <c r="G180" s="77">
        <f t="shared" si="48"/>
        <v>77682.5</v>
      </c>
      <c r="H180" s="99">
        <f t="shared" si="53"/>
        <v>5447.55</v>
      </c>
      <c r="I180" s="77">
        <f t="shared" si="49"/>
        <v>52568.86</v>
      </c>
      <c r="J180" s="180">
        <v>143.74</v>
      </c>
      <c r="K180" s="75">
        <f t="shared" si="50"/>
        <v>1387.09</v>
      </c>
      <c r="L180" s="100">
        <f t="shared" si="51"/>
        <v>2602.4499999999998</v>
      </c>
      <c r="M180" s="77">
        <f t="shared" si="52"/>
        <v>25113.64</v>
      </c>
      <c r="N180" s="59">
        <f t="shared" si="54"/>
        <v>0.67671431789656611</v>
      </c>
      <c r="O180" s="8"/>
      <c r="P180" s="9">
        <f t="shared" si="40"/>
        <v>5303.81</v>
      </c>
      <c r="Q180" s="9"/>
      <c r="R180" s="9"/>
      <c r="S180" s="9">
        <v>4025</v>
      </c>
      <c r="T180" s="9">
        <v>106</v>
      </c>
      <c r="U180" s="9">
        <v>106</v>
      </c>
      <c r="V180" s="9">
        <v>632.5</v>
      </c>
      <c r="W180" s="9"/>
      <c r="X180" s="9"/>
      <c r="Y180" s="9"/>
      <c r="AA180" s="9"/>
      <c r="AB180" s="9"/>
      <c r="AC180" s="9"/>
      <c r="AD180" s="9"/>
      <c r="AE180" s="9"/>
      <c r="AF180" s="9"/>
      <c r="AG180" s="9"/>
      <c r="AH180" s="9"/>
      <c r="AL180" s="210"/>
      <c r="AM180" s="206">
        <v>167.6</v>
      </c>
      <c r="AN180" s="206">
        <v>266.70999999999998</v>
      </c>
    </row>
    <row r="181" spans="1:40" s="10" customFormat="1" ht="39.950000000000003" customHeight="1" x14ac:dyDescent="0.25">
      <c r="A181" s="70">
        <v>1</v>
      </c>
      <c r="B181" s="70" t="s">
        <v>370</v>
      </c>
      <c r="C181" s="120" t="s">
        <v>371</v>
      </c>
      <c r="D181" s="123" t="s">
        <v>71</v>
      </c>
      <c r="E181" s="121">
        <v>3700</v>
      </c>
      <c r="F181" s="77">
        <v>7.67</v>
      </c>
      <c r="G181" s="77">
        <f t="shared" si="48"/>
        <v>28379</v>
      </c>
      <c r="H181" s="99">
        <f t="shared" si="53"/>
        <v>1137.99</v>
      </c>
      <c r="I181" s="77">
        <f t="shared" si="49"/>
        <v>8728.3799999999992</v>
      </c>
      <c r="J181" s="180"/>
      <c r="K181" s="75">
        <f t="shared" si="50"/>
        <v>0</v>
      </c>
      <c r="L181" s="100">
        <f t="shared" si="51"/>
        <v>2562.0100000000002</v>
      </c>
      <c r="M181" s="77">
        <f t="shared" si="52"/>
        <v>19650.62</v>
      </c>
      <c r="N181" s="59">
        <f t="shared" si="54"/>
        <v>0.30756474858169769</v>
      </c>
      <c r="O181" s="8"/>
      <c r="P181" s="9">
        <f t="shared" si="40"/>
        <v>1137.99</v>
      </c>
      <c r="Q181" s="9"/>
      <c r="R181" s="9"/>
      <c r="S181" s="9"/>
      <c r="T181" s="9">
        <v>212</v>
      </c>
      <c r="U181" s="9">
        <v>212</v>
      </c>
      <c r="V181" s="9">
        <v>-611.5</v>
      </c>
      <c r="W181" s="9">
        <v>187.5</v>
      </c>
      <c r="X181" s="9"/>
      <c r="Y181" s="9"/>
      <c r="AA181" s="9"/>
      <c r="AB181" s="9"/>
      <c r="AC181" s="9"/>
      <c r="AD181" s="9"/>
      <c r="AE181" s="9"/>
      <c r="AF181" s="9">
        <v>0</v>
      </c>
      <c r="AG181" s="9">
        <v>254.49</v>
      </c>
      <c r="AH181" s="9"/>
      <c r="AJ181" s="10">
        <v>150.47</v>
      </c>
      <c r="AL181" s="206">
        <v>733.03</v>
      </c>
      <c r="AM181" s="206"/>
      <c r="AN181" s="206"/>
    </row>
    <row r="182" spans="1:40" s="10" customFormat="1" ht="39.950000000000003" customHeight="1" x14ac:dyDescent="0.25">
      <c r="A182" s="70">
        <v>1</v>
      </c>
      <c r="B182" s="70" t="s">
        <v>372</v>
      </c>
      <c r="C182" s="69" t="s">
        <v>346</v>
      </c>
      <c r="D182" s="70" t="s">
        <v>320</v>
      </c>
      <c r="E182" s="78">
        <v>20554.36</v>
      </c>
      <c r="F182" s="77">
        <v>3.75</v>
      </c>
      <c r="G182" s="77">
        <f t="shared" si="48"/>
        <v>77078.850000000006</v>
      </c>
      <c r="H182" s="99">
        <f t="shared" si="53"/>
        <v>20554.36</v>
      </c>
      <c r="I182" s="77">
        <f t="shared" si="49"/>
        <v>77078.850000000006</v>
      </c>
      <c r="J182" s="180">
        <v>4660.18</v>
      </c>
      <c r="K182" s="75">
        <f t="shared" si="50"/>
        <v>17475.68</v>
      </c>
      <c r="L182" s="100">
        <f t="shared" si="51"/>
        <v>0</v>
      </c>
      <c r="M182" s="77">
        <f t="shared" si="52"/>
        <v>0</v>
      </c>
      <c r="N182" s="86">
        <f t="shared" si="54"/>
        <v>1</v>
      </c>
      <c r="O182" s="8"/>
      <c r="P182" s="9">
        <f t="shared" si="40"/>
        <v>15894.18</v>
      </c>
      <c r="Q182" s="9"/>
      <c r="R182" s="9"/>
      <c r="S182" s="9"/>
      <c r="T182" s="9">
        <v>2120</v>
      </c>
      <c r="U182" s="9">
        <v>2120</v>
      </c>
      <c r="V182" s="9">
        <v>2724.36</v>
      </c>
      <c r="W182" s="9">
        <v>1832.22</v>
      </c>
      <c r="X182" s="9">
        <v>1686.56</v>
      </c>
      <c r="Y182" s="9"/>
      <c r="AA182" s="9"/>
      <c r="AB182" s="9">
        <v>1448.84</v>
      </c>
      <c r="AC182" s="9"/>
      <c r="AD182" s="9"/>
      <c r="AE182" s="9"/>
      <c r="AF182" s="9">
        <v>3962.2</v>
      </c>
      <c r="AG182" s="9"/>
      <c r="AH182" s="9"/>
      <c r="AL182" s="206"/>
      <c r="AM182" s="206"/>
      <c r="AN182" s="206"/>
    </row>
    <row r="183" spans="1:40" s="10" customFormat="1" ht="39.950000000000003" hidden="1" customHeight="1" x14ac:dyDescent="0.25">
      <c r="A183" s="239">
        <v>1</v>
      </c>
      <c r="B183" s="239" t="s">
        <v>373</v>
      </c>
      <c r="C183" s="238" t="s">
        <v>348</v>
      </c>
      <c r="D183" s="239" t="s">
        <v>323</v>
      </c>
      <c r="E183" s="229">
        <v>0</v>
      </c>
      <c r="F183" s="231">
        <v>0.77</v>
      </c>
      <c r="G183" s="231">
        <f t="shared" si="48"/>
        <v>0</v>
      </c>
      <c r="H183" s="232"/>
      <c r="I183" s="231">
        <f t="shared" si="49"/>
        <v>0</v>
      </c>
      <c r="J183" s="241"/>
      <c r="K183" s="242">
        <f t="shared" si="50"/>
        <v>0</v>
      </c>
      <c r="L183" s="235">
        <f t="shared" si="51"/>
        <v>0</v>
      </c>
      <c r="M183" s="231">
        <f t="shared" si="52"/>
        <v>0</v>
      </c>
      <c r="N183" s="237">
        <v>0</v>
      </c>
      <c r="O183" s="8"/>
      <c r="P183" s="9">
        <f t="shared" si="40"/>
        <v>0</v>
      </c>
      <c r="Q183" s="9"/>
      <c r="R183" s="9"/>
      <c r="S183" s="9"/>
      <c r="T183" s="9">
        <v>42400</v>
      </c>
      <c r="U183" s="9">
        <v>42400</v>
      </c>
      <c r="V183" s="9">
        <f>54487.2+0.12</f>
        <v>54487.32</v>
      </c>
      <c r="W183" s="9"/>
      <c r="X183" s="9"/>
      <c r="Y183" s="9"/>
      <c r="AA183" s="9"/>
      <c r="AB183" s="9"/>
      <c r="AC183" s="9"/>
      <c r="AD183" s="9"/>
      <c r="AE183" s="9"/>
      <c r="AF183" s="9">
        <v>-139287.32</v>
      </c>
      <c r="AG183" s="9"/>
      <c r="AH183" s="9"/>
      <c r="AL183" s="207"/>
      <c r="AM183" s="207"/>
      <c r="AN183" s="207"/>
    </row>
    <row r="184" spans="1:40" s="10" customFormat="1" ht="39.950000000000003" customHeight="1" x14ac:dyDescent="0.25">
      <c r="A184" s="70">
        <v>1</v>
      </c>
      <c r="B184" s="70" t="s">
        <v>374</v>
      </c>
      <c r="C184" s="69" t="s">
        <v>350</v>
      </c>
      <c r="D184" s="70" t="s">
        <v>320</v>
      </c>
      <c r="E184" s="78">
        <v>12828.97</v>
      </c>
      <c r="F184" s="77">
        <v>2.65</v>
      </c>
      <c r="G184" s="77">
        <f t="shared" si="48"/>
        <v>33996.769999999997</v>
      </c>
      <c r="H184" s="99">
        <f>P184+J184</f>
        <v>8106.1999999999989</v>
      </c>
      <c r="I184" s="77">
        <f t="shared" si="49"/>
        <v>21481.43</v>
      </c>
      <c r="J184" s="180"/>
      <c r="K184" s="75">
        <f t="shared" si="50"/>
        <v>0</v>
      </c>
      <c r="L184" s="100">
        <f t="shared" si="51"/>
        <v>4722.7700000000004</v>
      </c>
      <c r="M184" s="77">
        <f t="shared" si="52"/>
        <v>12515.34</v>
      </c>
      <c r="N184" s="59">
        <f>IF(G184=0,"",I184/G184)</f>
        <v>0.63186679205112728</v>
      </c>
      <c r="O184" s="8"/>
      <c r="P184" s="9">
        <f t="shared" si="40"/>
        <v>8106.1999999999989</v>
      </c>
      <c r="Q184" s="9"/>
      <c r="R184" s="9"/>
      <c r="S184" s="9"/>
      <c r="T184" s="9">
        <v>2120</v>
      </c>
      <c r="U184" s="9">
        <v>2120</v>
      </c>
      <c r="V184" s="9">
        <v>1763.4</v>
      </c>
      <c r="W184" s="9"/>
      <c r="X184" s="9"/>
      <c r="Y184" s="9"/>
      <c r="AA184" s="9"/>
      <c r="AB184" s="9"/>
      <c r="AC184" s="9"/>
      <c r="AD184" s="9"/>
      <c r="AE184" s="9"/>
      <c r="AF184" s="9">
        <v>1205.81</v>
      </c>
      <c r="AG184" s="9"/>
      <c r="AH184" s="9"/>
      <c r="AI184" s="10">
        <v>896.99</v>
      </c>
      <c r="AL184" s="206"/>
      <c r="AM184" s="206"/>
      <c r="AN184" s="206"/>
    </row>
    <row r="185" spans="1:40" s="10" customFormat="1" ht="39.950000000000003" customHeight="1" x14ac:dyDescent="0.25">
      <c r="A185" s="274" t="s">
        <v>375</v>
      </c>
      <c r="B185" s="274"/>
      <c r="C185" s="274"/>
      <c r="D185" s="274"/>
      <c r="E185" s="274"/>
      <c r="F185" s="274"/>
      <c r="G185" s="79">
        <f>SUM(G173:G184)</f>
        <v>2513078.5500000003</v>
      </c>
      <c r="H185" s="80"/>
      <c r="I185" s="79">
        <f>SUM(I173:I184)</f>
        <v>2405508.25</v>
      </c>
      <c r="J185" s="181"/>
      <c r="K185" s="79">
        <f>SUM(K173:K184)</f>
        <v>95232.26999999999</v>
      </c>
      <c r="L185" s="82"/>
      <c r="M185" s="79">
        <f>SUM(M173:M184)</f>
        <v>107570.29999999999</v>
      </c>
      <c r="N185" s="93">
        <f>IF(G185=0,"",I185/G185)</f>
        <v>0.95719580671284621</v>
      </c>
      <c r="O185" s="8"/>
      <c r="P185" s="9">
        <f t="shared" si="40"/>
        <v>0</v>
      </c>
      <c r="Q185" s="9"/>
      <c r="R185" s="9"/>
      <c r="S185" s="9"/>
      <c r="T185" s="9"/>
      <c r="U185" s="9"/>
      <c r="V185" s="9"/>
      <c r="W185" s="9"/>
      <c r="X185" s="9"/>
      <c r="Y185" s="9"/>
      <c r="AA185" s="9"/>
      <c r="AB185" s="9"/>
      <c r="AC185" s="9"/>
      <c r="AD185" s="9"/>
      <c r="AE185" s="9"/>
      <c r="AF185" s="9"/>
      <c r="AG185" s="9"/>
      <c r="AH185" s="9"/>
      <c r="AL185" s="202"/>
      <c r="AM185" s="202"/>
      <c r="AN185" s="202"/>
    </row>
    <row r="186" spans="1:40" s="10" customFormat="1" ht="39.950000000000003" customHeight="1" x14ac:dyDescent="0.25">
      <c r="A186" s="68">
        <v>1</v>
      </c>
      <c r="B186" s="68" t="s">
        <v>376</v>
      </c>
      <c r="C186" s="83" t="s">
        <v>377</v>
      </c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221"/>
      <c r="O186" s="8"/>
      <c r="P186" s="9">
        <f t="shared" si="40"/>
        <v>0</v>
      </c>
      <c r="Q186" s="9"/>
      <c r="R186" s="9"/>
      <c r="S186" s="9"/>
      <c r="T186" s="9"/>
      <c r="U186" s="9"/>
      <c r="V186" s="9"/>
      <c r="W186" s="9"/>
      <c r="X186" s="9"/>
      <c r="Y186" s="9"/>
      <c r="AA186" s="9"/>
      <c r="AB186" s="9"/>
      <c r="AC186" s="9"/>
      <c r="AD186" s="9"/>
      <c r="AE186" s="9"/>
      <c r="AF186" s="9"/>
      <c r="AG186" s="9"/>
      <c r="AH186" s="9"/>
      <c r="AL186" s="203"/>
      <c r="AM186" s="203"/>
      <c r="AN186" s="203"/>
    </row>
    <row r="187" spans="1:40" s="10" customFormat="1" ht="39.950000000000003" customHeight="1" x14ac:dyDescent="0.25">
      <c r="A187" s="68"/>
      <c r="B187" s="68"/>
      <c r="C187" s="83" t="s">
        <v>378</v>
      </c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221"/>
      <c r="O187" s="8"/>
      <c r="P187" s="9">
        <f t="shared" si="40"/>
        <v>0</v>
      </c>
      <c r="Q187" s="9"/>
      <c r="R187" s="9"/>
      <c r="S187" s="9"/>
      <c r="T187" s="9"/>
      <c r="U187" s="9"/>
      <c r="V187" s="9"/>
      <c r="W187" s="9"/>
      <c r="X187" s="9"/>
      <c r="Y187" s="9"/>
      <c r="AA187" s="9"/>
      <c r="AB187" s="9"/>
      <c r="AC187" s="9"/>
      <c r="AD187" s="9"/>
      <c r="AE187" s="9"/>
      <c r="AF187" s="9"/>
      <c r="AG187" s="9"/>
      <c r="AH187" s="9"/>
      <c r="AL187" s="203"/>
      <c r="AM187" s="203"/>
      <c r="AN187" s="203"/>
    </row>
    <row r="188" spans="1:40" s="10" customFormat="1" ht="39.950000000000003" customHeight="1" x14ac:dyDescent="0.25">
      <c r="A188" s="55">
        <v>1</v>
      </c>
      <c r="B188" s="55" t="s">
        <v>379</v>
      </c>
      <c r="C188" s="89" t="s">
        <v>380</v>
      </c>
      <c r="D188" s="70" t="s">
        <v>71</v>
      </c>
      <c r="E188" s="71">
        <v>5503.18</v>
      </c>
      <c r="F188" s="72">
        <v>17.190000000000001</v>
      </c>
      <c r="G188" s="77">
        <f>ROUND(E188*F188,2)</f>
        <v>94599.66</v>
      </c>
      <c r="H188" s="74">
        <f>P188+J188</f>
        <v>1267.46</v>
      </c>
      <c r="I188" s="77">
        <f t="shared" ref="I188:I212" si="55">ROUND(H188*F188,2)</f>
        <v>21787.64</v>
      </c>
      <c r="J188" s="81">
        <v>44.96</v>
      </c>
      <c r="K188" s="75">
        <f t="shared" ref="K188:K229" si="56">ROUND(J188*F188,2)</f>
        <v>772.86</v>
      </c>
      <c r="L188" s="76">
        <f>E188-H188</f>
        <v>4235.72</v>
      </c>
      <c r="M188" s="77">
        <f t="shared" ref="M188:M212" si="57">ROUND(G188-I188,2)</f>
        <v>72812.02</v>
      </c>
      <c r="N188" s="86">
        <f>IF(G188=0,"",I188/G188)</f>
        <v>0.23031414700644801</v>
      </c>
      <c r="O188" s="8"/>
      <c r="P188" s="9">
        <f t="shared" si="40"/>
        <v>1222.5</v>
      </c>
      <c r="Q188" s="9"/>
      <c r="R188" s="9"/>
      <c r="S188" s="9"/>
      <c r="T188" s="9"/>
      <c r="U188" s="9"/>
      <c r="V188" s="9"/>
      <c r="W188" s="9"/>
      <c r="X188" s="9"/>
      <c r="Y188" s="9"/>
      <c r="AA188" s="9"/>
      <c r="AB188" s="9"/>
      <c r="AC188" s="9"/>
      <c r="AD188" s="9"/>
      <c r="AE188" s="9"/>
      <c r="AF188" s="9"/>
      <c r="AG188" s="9"/>
      <c r="AH188" s="9"/>
      <c r="AL188" s="215">
        <v>1190.0999999999999</v>
      </c>
      <c r="AM188" s="215"/>
      <c r="AN188" s="202">
        <v>32.4</v>
      </c>
    </row>
    <row r="189" spans="1:40" s="10" customFormat="1" ht="39.950000000000003" customHeight="1" x14ac:dyDescent="0.25">
      <c r="A189" s="55">
        <v>1</v>
      </c>
      <c r="B189" s="55" t="s">
        <v>381</v>
      </c>
      <c r="C189" s="89" t="s">
        <v>382</v>
      </c>
      <c r="D189" s="70" t="s">
        <v>71</v>
      </c>
      <c r="E189" s="71">
        <v>500</v>
      </c>
      <c r="F189" s="72">
        <v>36.270000000000003</v>
      </c>
      <c r="G189" s="73">
        <f>E189*F189</f>
        <v>18135</v>
      </c>
      <c r="H189" s="74">
        <f>P189+J189</f>
        <v>417.15999999999997</v>
      </c>
      <c r="I189" s="77">
        <f t="shared" si="55"/>
        <v>15130.39</v>
      </c>
      <c r="J189" s="198">
        <v>173.16</v>
      </c>
      <c r="K189" s="88">
        <f t="shared" si="56"/>
        <v>6280.51</v>
      </c>
      <c r="L189" s="76">
        <f>E189-H189</f>
        <v>82.840000000000032</v>
      </c>
      <c r="M189" s="77">
        <f t="shared" si="57"/>
        <v>3004.61</v>
      </c>
      <c r="N189" s="86">
        <f>IF(G189=0,"",I189/G189)</f>
        <v>0.83431982354562995</v>
      </c>
      <c r="O189" s="8"/>
      <c r="P189" s="9">
        <f t="shared" si="40"/>
        <v>244</v>
      </c>
      <c r="Q189" s="9"/>
      <c r="R189" s="9"/>
      <c r="S189" s="9"/>
      <c r="T189" s="9"/>
      <c r="U189" s="9"/>
      <c r="V189" s="9"/>
      <c r="W189" s="9"/>
      <c r="X189" s="9"/>
      <c r="Y189" s="9"/>
      <c r="AA189" s="9"/>
      <c r="AB189" s="9"/>
      <c r="AC189" s="9"/>
      <c r="AD189" s="9"/>
      <c r="AE189" s="9"/>
      <c r="AF189" s="9"/>
      <c r="AG189" s="9"/>
      <c r="AH189" s="9"/>
      <c r="AL189" s="202">
        <v>244</v>
      </c>
      <c r="AM189" s="216"/>
      <c r="AN189" s="202"/>
    </row>
    <row r="190" spans="1:40" s="10" customFormat="1" ht="39.950000000000003" customHeight="1" x14ac:dyDescent="0.25">
      <c r="A190" s="55">
        <v>1</v>
      </c>
      <c r="B190" s="55" t="s">
        <v>383</v>
      </c>
      <c r="C190" s="89" t="s">
        <v>384</v>
      </c>
      <c r="D190" s="70" t="s">
        <v>71</v>
      </c>
      <c r="E190" s="71">
        <v>1600</v>
      </c>
      <c r="F190" s="72">
        <v>36.24</v>
      </c>
      <c r="G190" s="73">
        <f>E190*F190</f>
        <v>57984</v>
      </c>
      <c r="H190" s="74">
        <f>P190+J190</f>
        <v>457.28</v>
      </c>
      <c r="I190" s="77">
        <f t="shared" si="55"/>
        <v>16571.830000000002</v>
      </c>
      <c r="J190" s="198">
        <v>334.28</v>
      </c>
      <c r="K190" s="88">
        <f t="shared" si="56"/>
        <v>12114.31</v>
      </c>
      <c r="L190" s="76">
        <f>E190-H190</f>
        <v>1142.72</v>
      </c>
      <c r="M190" s="77">
        <f t="shared" si="57"/>
        <v>41412.17</v>
      </c>
      <c r="N190" s="86">
        <f>IF(G190=0,"",I190/G190)</f>
        <v>0.28580004828918326</v>
      </c>
      <c r="O190" s="8"/>
      <c r="P190" s="9">
        <f t="shared" si="40"/>
        <v>123</v>
      </c>
      <c r="Q190" s="9"/>
      <c r="R190" s="9"/>
      <c r="S190" s="9"/>
      <c r="T190" s="9"/>
      <c r="U190" s="9"/>
      <c r="V190" s="9"/>
      <c r="W190" s="9"/>
      <c r="X190" s="9"/>
      <c r="Y190" s="9"/>
      <c r="AA190" s="9"/>
      <c r="AB190" s="9"/>
      <c r="AC190" s="9"/>
      <c r="AD190" s="9"/>
      <c r="AE190" s="9"/>
      <c r="AF190" s="9"/>
      <c r="AG190" s="9"/>
      <c r="AH190" s="9"/>
      <c r="AL190" s="202">
        <v>123</v>
      </c>
      <c r="AM190" s="216"/>
      <c r="AN190" s="202"/>
    </row>
    <row r="191" spans="1:40" s="10" customFormat="1" ht="39.950000000000003" customHeight="1" x14ac:dyDescent="0.25">
      <c r="A191" s="55">
        <v>1</v>
      </c>
      <c r="B191" s="55" t="s">
        <v>385</v>
      </c>
      <c r="C191" s="89" t="s">
        <v>386</v>
      </c>
      <c r="D191" s="53" t="s">
        <v>387</v>
      </c>
      <c r="E191" s="71">
        <v>748</v>
      </c>
      <c r="F191" s="72">
        <v>34.97</v>
      </c>
      <c r="G191" s="73">
        <f>E191*F191</f>
        <v>26157.559999999998</v>
      </c>
      <c r="H191" s="74">
        <f>P191+J191</f>
        <v>48</v>
      </c>
      <c r="I191" s="77">
        <f t="shared" si="55"/>
        <v>1678.56</v>
      </c>
      <c r="J191" s="181"/>
      <c r="K191" s="88">
        <f t="shared" si="56"/>
        <v>0</v>
      </c>
      <c r="L191" s="76">
        <f>E191-H191</f>
        <v>700</v>
      </c>
      <c r="M191" s="77">
        <f t="shared" si="57"/>
        <v>24479</v>
      </c>
      <c r="N191" s="86">
        <f>IF(G191=0,"",I191/G191)</f>
        <v>6.4171122994652413E-2</v>
      </c>
      <c r="O191" s="8"/>
      <c r="P191" s="9">
        <f t="shared" si="40"/>
        <v>48</v>
      </c>
      <c r="Q191" s="9"/>
      <c r="R191" s="9"/>
      <c r="S191" s="9"/>
      <c r="T191" s="9"/>
      <c r="U191" s="9"/>
      <c r="V191" s="9"/>
      <c r="W191" s="9"/>
      <c r="X191" s="9"/>
      <c r="Y191" s="9"/>
      <c r="AA191" s="9"/>
      <c r="AB191" s="9"/>
      <c r="AC191" s="9"/>
      <c r="AD191" s="9"/>
      <c r="AE191" s="9"/>
      <c r="AF191" s="9"/>
      <c r="AG191" s="9"/>
      <c r="AH191" s="9"/>
      <c r="AL191" s="202">
        <v>48</v>
      </c>
      <c r="AM191" s="202"/>
      <c r="AN191" s="202"/>
    </row>
    <row r="192" spans="1:40" s="10" customFormat="1" ht="39.950000000000003" customHeight="1" x14ac:dyDescent="0.25">
      <c r="A192" s="55">
        <v>1</v>
      </c>
      <c r="B192" s="55" t="s">
        <v>388</v>
      </c>
      <c r="C192" s="89" t="s">
        <v>389</v>
      </c>
      <c r="D192" s="53" t="s">
        <v>387</v>
      </c>
      <c r="E192" s="71">
        <v>312</v>
      </c>
      <c r="F192" s="72">
        <v>40.01</v>
      </c>
      <c r="G192" s="73">
        <f>E192*F192</f>
        <v>12483.119999999999</v>
      </c>
      <c r="H192" s="74">
        <f>P192+J192</f>
        <v>0</v>
      </c>
      <c r="I192" s="77">
        <f t="shared" si="55"/>
        <v>0</v>
      </c>
      <c r="J192" s="81"/>
      <c r="K192" s="88">
        <f t="shared" si="56"/>
        <v>0</v>
      </c>
      <c r="L192" s="76">
        <f>E192-H192</f>
        <v>312</v>
      </c>
      <c r="M192" s="77">
        <f t="shared" si="57"/>
        <v>12483.12</v>
      </c>
      <c r="N192" s="86">
        <f>IF(G192=0,"",I192/G192)</f>
        <v>0</v>
      </c>
      <c r="O192" s="8"/>
      <c r="P192" s="9">
        <f t="shared" si="40"/>
        <v>0</v>
      </c>
      <c r="Q192" s="9"/>
      <c r="R192" s="9"/>
      <c r="S192" s="9"/>
      <c r="T192" s="9"/>
      <c r="U192" s="9"/>
      <c r="V192" s="9"/>
      <c r="W192" s="9"/>
      <c r="X192" s="9"/>
      <c r="Y192" s="9"/>
      <c r="AA192" s="9"/>
      <c r="AB192" s="9"/>
      <c r="AC192" s="9"/>
      <c r="AD192" s="9"/>
      <c r="AE192" s="9"/>
      <c r="AF192" s="9"/>
      <c r="AG192" s="9"/>
      <c r="AH192" s="9"/>
      <c r="AL192" s="215"/>
      <c r="AM192" s="215"/>
      <c r="AN192" s="215"/>
    </row>
    <row r="193" spans="1:40" s="10" customFormat="1" ht="39.950000000000003" customHeight="1" x14ac:dyDescent="0.25">
      <c r="A193" s="68"/>
      <c r="B193" s="68"/>
      <c r="C193" s="83" t="s">
        <v>390</v>
      </c>
      <c r="D193" s="84"/>
      <c r="E193" s="84"/>
      <c r="F193" s="84"/>
      <c r="G193" s="84"/>
      <c r="H193" s="84"/>
      <c r="I193" s="193">
        <f t="shared" si="55"/>
        <v>0</v>
      </c>
      <c r="J193" s="84"/>
      <c r="K193" s="84">
        <f t="shared" si="56"/>
        <v>0</v>
      </c>
      <c r="L193" s="84"/>
      <c r="M193" s="84">
        <f t="shared" si="57"/>
        <v>0</v>
      </c>
      <c r="N193" s="221"/>
      <c r="O193" s="8"/>
      <c r="P193" s="9">
        <f t="shared" si="40"/>
        <v>0</v>
      </c>
      <c r="Q193" s="9"/>
      <c r="R193" s="9"/>
      <c r="S193" s="9"/>
      <c r="T193" s="9"/>
      <c r="U193" s="9"/>
      <c r="V193" s="9"/>
      <c r="W193" s="9"/>
      <c r="X193" s="9"/>
      <c r="Y193" s="9"/>
      <c r="AA193" s="9"/>
      <c r="AB193" s="9"/>
      <c r="AC193" s="9"/>
      <c r="AD193" s="9"/>
      <c r="AE193" s="9"/>
      <c r="AF193" s="9"/>
      <c r="AG193" s="9"/>
      <c r="AH193" s="9"/>
      <c r="AL193" s="203"/>
      <c r="AM193" s="203"/>
      <c r="AN193" s="203"/>
    </row>
    <row r="194" spans="1:40" s="10" customFormat="1" ht="39.950000000000003" customHeight="1" x14ac:dyDescent="0.25">
      <c r="A194" s="55">
        <v>1</v>
      </c>
      <c r="B194" s="55" t="s">
        <v>391</v>
      </c>
      <c r="C194" s="124" t="s">
        <v>392</v>
      </c>
      <c r="D194" s="53" t="s">
        <v>45</v>
      </c>
      <c r="E194" s="71">
        <v>510.48</v>
      </c>
      <c r="F194" s="91">
        <v>84.79</v>
      </c>
      <c r="G194" s="73">
        <f t="shared" ref="G194:G204" si="58">E194*F194</f>
        <v>43283.599200000004</v>
      </c>
      <c r="H194" s="74">
        <f t="shared" ref="H194:H204" si="59">P194+J194</f>
        <v>352.8</v>
      </c>
      <c r="I194" s="77">
        <f t="shared" si="55"/>
        <v>29913.91</v>
      </c>
      <c r="J194" s="198">
        <v>264.8</v>
      </c>
      <c r="K194" s="88">
        <f t="shared" si="56"/>
        <v>22452.39</v>
      </c>
      <c r="L194" s="76">
        <f t="shared" ref="L194:L204" si="60">E194-H194</f>
        <v>157.68</v>
      </c>
      <c r="M194" s="73">
        <f t="shared" si="57"/>
        <v>13369.69</v>
      </c>
      <c r="N194" s="86">
        <f t="shared" ref="N194:N204" si="61">IF(G194=0,"",I194/G194)</f>
        <v>0.69111419920920059</v>
      </c>
      <c r="O194" s="8"/>
      <c r="P194" s="9">
        <f t="shared" si="40"/>
        <v>88</v>
      </c>
      <c r="Q194" s="9"/>
      <c r="R194" s="9"/>
      <c r="S194" s="9"/>
      <c r="T194" s="9"/>
      <c r="U194" s="9"/>
      <c r="V194" s="9"/>
      <c r="W194" s="9"/>
      <c r="X194" s="9"/>
      <c r="Y194" s="9"/>
      <c r="AA194" s="9"/>
      <c r="AB194" s="9"/>
      <c r="AC194" s="9"/>
      <c r="AD194" s="9"/>
      <c r="AE194" s="9"/>
      <c r="AF194" s="9"/>
      <c r="AG194" s="9"/>
      <c r="AH194" s="9"/>
      <c r="AL194" s="202">
        <v>88</v>
      </c>
      <c r="AM194" s="216"/>
      <c r="AN194" s="202"/>
    </row>
    <row r="195" spans="1:40" s="10" customFormat="1" ht="55.5" hidden="1" customHeight="1" x14ac:dyDescent="0.25">
      <c r="A195" s="226">
        <v>1</v>
      </c>
      <c r="B195" s="226" t="s">
        <v>393</v>
      </c>
      <c r="C195" s="263" t="s">
        <v>394</v>
      </c>
      <c r="D195" s="228" t="s">
        <v>387</v>
      </c>
      <c r="E195" s="255">
        <v>0</v>
      </c>
      <c r="F195" s="230">
        <v>382</v>
      </c>
      <c r="G195" s="231">
        <f t="shared" si="58"/>
        <v>0</v>
      </c>
      <c r="H195" s="232">
        <f t="shared" si="59"/>
        <v>0</v>
      </c>
      <c r="I195" s="236">
        <f t="shared" si="55"/>
        <v>0</v>
      </c>
      <c r="J195" s="245"/>
      <c r="K195" s="246">
        <f t="shared" si="56"/>
        <v>0</v>
      </c>
      <c r="L195" s="235">
        <f t="shared" si="60"/>
        <v>0</v>
      </c>
      <c r="M195" s="231">
        <f t="shared" si="57"/>
        <v>0</v>
      </c>
      <c r="N195" s="237" t="str">
        <f t="shared" si="61"/>
        <v/>
      </c>
      <c r="O195" s="8"/>
      <c r="P195" s="9">
        <f t="shared" si="40"/>
        <v>0</v>
      </c>
      <c r="Q195" s="9"/>
      <c r="R195" s="9"/>
      <c r="S195" s="9"/>
      <c r="T195" s="9"/>
      <c r="U195" s="9"/>
      <c r="V195" s="9"/>
      <c r="W195" s="9"/>
      <c r="X195" s="9"/>
      <c r="Y195" s="9"/>
      <c r="AA195" s="9"/>
      <c r="AB195" s="9"/>
      <c r="AC195" s="9"/>
      <c r="AD195" s="9"/>
      <c r="AE195" s="9"/>
      <c r="AF195" s="9"/>
      <c r="AG195" s="9"/>
      <c r="AH195" s="9"/>
      <c r="AL195" s="215"/>
      <c r="AM195" s="215"/>
      <c r="AN195" s="202"/>
    </row>
    <row r="196" spans="1:40" s="10" customFormat="1" ht="39.950000000000003" hidden="1" customHeight="1" x14ac:dyDescent="0.25">
      <c r="A196" s="226">
        <v>1</v>
      </c>
      <c r="B196" s="226" t="s">
        <v>395</v>
      </c>
      <c r="C196" s="263" t="s">
        <v>396</v>
      </c>
      <c r="D196" s="228" t="s">
        <v>387</v>
      </c>
      <c r="E196" s="255">
        <v>0</v>
      </c>
      <c r="F196" s="230">
        <v>630</v>
      </c>
      <c r="G196" s="231">
        <f t="shared" si="58"/>
        <v>0</v>
      </c>
      <c r="H196" s="232">
        <f t="shared" si="59"/>
        <v>0</v>
      </c>
      <c r="I196" s="236">
        <f t="shared" si="55"/>
        <v>0</v>
      </c>
      <c r="J196" s="245"/>
      <c r="K196" s="246">
        <f t="shared" si="56"/>
        <v>0</v>
      </c>
      <c r="L196" s="235">
        <f t="shared" si="60"/>
        <v>0</v>
      </c>
      <c r="M196" s="231">
        <f t="shared" si="57"/>
        <v>0</v>
      </c>
      <c r="N196" s="237" t="str">
        <f t="shared" si="61"/>
        <v/>
      </c>
      <c r="O196" s="8"/>
      <c r="P196" s="9">
        <f t="shared" si="40"/>
        <v>0</v>
      </c>
      <c r="Q196" s="9"/>
      <c r="R196" s="9"/>
      <c r="S196" s="9"/>
      <c r="T196" s="9"/>
      <c r="U196" s="9"/>
      <c r="V196" s="9"/>
      <c r="W196" s="9"/>
      <c r="X196" s="9"/>
      <c r="Y196" s="9"/>
      <c r="AA196" s="9"/>
      <c r="AB196" s="9"/>
      <c r="AC196" s="9"/>
      <c r="AD196" s="9"/>
      <c r="AE196" s="9"/>
      <c r="AF196" s="9"/>
      <c r="AG196" s="9"/>
      <c r="AH196" s="9"/>
      <c r="AL196" s="215"/>
      <c r="AM196" s="215"/>
      <c r="AN196" s="202"/>
    </row>
    <row r="197" spans="1:40" s="10" customFormat="1" ht="70.5" customHeight="1" x14ac:dyDescent="0.25">
      <c r="A197" s="55">
        <v>1</v>
      </c>
      <c r="B197" s="55" t="s">
        <v>397</v>
      </c>
      <c r="C197" s="125" t="s">
        <v>398</v>
      </c>
      <c r="D197" s="70" t="s">
        <v>387</v>
      </c>
      <c r="E197" s="78">
        <v>12</v>
      </c>
      <c r="F197" s="72">
        <v>594</v>
      </c>
      <c r="G197" s="73">
        <f t="shared" si="58"/>
        <v>7128</v>
      </c>
      <c r="H197" s="74">
        <f t="shared" si="59"/>
        <v>3</v>
      </c>
      <c r="I197" s="77">
        <f t="shared" si="55"/>
        <v>1782</v>
      </c>
      <c r="J197" s="181"/>
      <c r="K197" s="88">
        <f t="shared" si="56"/>
        <v>0</v>
      </c>
      <c r="L197" s="76">
        <f t="shared" si="60"/>
        <v>9</v>
      </c>
      <c r="M197" s="73">
        <f t="shared" si="57"/>
        <v>5346</v>
      </c>
      <c r="N197" s="86">
        <f t="shared" si="61"/>
        <v>0.25</v>
      </c>
      <c r="O197" s="8"/>
      <c r="P197" s="9">
        <f t="shared" si="40"/>
        <v>3</v>
      </c>
      <c r="Q197" s="9"/>
      <c r="R197" s="9"/>
      <c r="S197" s="9"/>
      <c r="T197" s="9"/>
      <c r="U197" s="9"/>
      <c r="V197" s="9"/>
      <c r="W197" s="9"/>
      <c r="X197" s="9"/>
      <c r="Y197" s="9"/>
      <c r="AA197" s="9"/>
      <c r="AB197" s="9"/>
      <c r="AC197" s="9"/>
      <c r="AD197" s="9"/>
      <c r="AE197" s="9"/>
      <c r="AF197" s="9"/>
      <c r="AG197" s="9"/>
      <c r="AH197" s="9"/>
      <c r="AL197" s="202">
        <v>3</v>
      </c>
      <c r="AM197" s="202"/>
      <c r="AN197" s="202"/>
    </row>
    <row r="198" spans="1:40" s="10" customFormat="1" ht="51.75" customHeight="1" x14ac:dyDescent="0.25">
      <c r="A198" s="53">
        <v>1</v>
      </c>
      <c r="B198" s="53" t="s">
        <v>399</v>
      </c>
      <c r="C198" s="125" t="s">
        <v>400</v>
      </c>
      <c r="D198" s="70" t="s">
        <v>387</v>
      </c>
      <c r="E198" s="78">
        <v>9</v>
      </c>
      <c r="F198" s="73">
        <v>810</v>
      </c>
      <c r="G198" s="73">
        <f t="shared" si="58"/>
        <v>7290</v>
      </c>
      <c r="H198" s="74">
        <f t="shared" si="59"/>
        <v>4</v>
      </c>
      <c r="I198" s="77">
        <f t="shared" si="55"/>
        <v>3240</v>
      </c>
      <c r="J198" s="181"/>
      <c r="K198" s="88">
        <f t="shared" si="56"/>
        <v>0</v>
      </c>
      <c r="L198" s="76">
        <f t="shared" si="60"/>
        <v>5</v>
      </c>
      <c r="M198" s="73">
        <f t="shared" si="57"/>
        <v>4050</v>
      </c>
      <c r="N198" s="86">
        <f t="shared" si="61"/>
        <v>0.44444444444444442</v>
      </c>
      <c r="O198" s="8"/>
      <c r="P198" s="9">
        <f t="shared" si="40"/>
        <v>4</v>
      </c>
      <c r="Q198" s="9"/>
      <c r="R198" s="9"/>
      <c r="S198" s="9"/>
      <c r="T198" s="9"/>
      <c r="U198" s="9"/>
      <c r="V198" s="9"/>
      <c r="W198" s="9"/>
      <c r="X198" s="9"/>
      <c r="Y198" s="9"/>
      <c r="AA198" s="9"/>
      <c r="AB198" s="9"/>
      <c r="AC198" s="9"/>
      <c r="AD198" s="9"/>
      <c r="AE198" s="9"/>
      <c r="AF198" s="9"/>
      <c r="AG198" s="9"/>
      <c r="AH198" s="9"/>
      <c r="AL198" s="202">
        <v>4</v>
      </c>
      <c r="AM198" s="202"/>
      <c r="AN198" s="202"/>
    </row>
    <row r="199" spans="1:40" s="10" customFormat="1" ht="39.950000000000003" customHeight="1" x14ac:dyDescent="0.25">
      <c r="A199" s="53">
        <v>1</v>
      </c>
      <c r="B199" s="53" t="s">
        <v>401</v>
      </c>
      <c r="C199" s="125" t="s">
        <v>402</v>
      </c>
      <c r="D199" s="70" t="s">
        <v>387</v>
      </c>
      <c r="E199" s="78">
        <v>9</v>
      </c>
      <c r="F199" s="73">
        <v>612</v>
      </c>
      <c r="G199" s="73">
        <f t="shared" si="58"/>
        <v>5508</v>
      </c>
      <c r="H199" s="74">
        <f t="shared" si="59"/>
        <v>4</v>
      </c>
      <c r="I199" s="77">
        <f t="shared" si="55"/>
        <v>2448</v>
      </c>
      <c r="J199" s="181"/>
      <c r="K199" s="88">
        <f t="shared" si="56"/>
        <v>0</v>
      </c>
      <c r="L199" s="76">
        <f t="shared" si="60"/>
        <v>5</v>
      </c>
      <c r="M199" s="73">
        <f t="shared" si="57"/>
        <v>3060</v>
      </c>
      <c r="N199" s="86">
        <f t="shared" si="61"/>
        <v>0.44444444444444442</v>
      </c>
      <c r="O199" s="8"/>
      <c r="P199" s="9">
        <f t="shared" si="40"/>
        <v>4</v>
      </c>
      <c r="Q199" s="9"/>
      <c r="R199" s="9"/>
      <c r="S199" s="9"/>
      <c r="T199" s="9"/>
      <c r="U199" s="9"/>
      <c r="V199" s="9"/>
      <c r="W199" s="9"/>
      <c r="X199" s="9"/>
      <c r="Y199" s="9"/>
      <c r="AA199" s="9"/>
      <c r="AB199" s="9"/>
      <c r="AC199" s="9"/>
      <c r="AD199" s="9"/>
      <c r="AE199" s="9"/>
      <c r="AF199" s="9"/>
      <c r="AG199" s="9"/>
      <c r="AH199" s="9"/>
      <c r="AL199" s="202">
        <v>4</v>
      </c>
      <c r="AM199" s="202"/>
      <c r="AN199" s="202"/>
    </row>
    <row r="200" spans="1:40" s="10" customFormat="1" ht="39.950000000000003" customHeight="1" x14ac:dyDescent="0.25">
      <c r="A200" s="53">
        <v>1</v>
      </c>
      <c r="B200" s="53" t="s">
        <v>403</v>
      </c>
      <c r="C200" s="125" t="s">
        <v>404</v>
      </c>
      <c r="D200" s="70" t="s">
        <v>387</v>
      </c>
      <c r="E200" s="78">
        <v>19</v>
      </c>
      <c r="F200" s="73">
        <v>870</v>
      </c>
      <c r="G200" s="73">
        <f t="shared" si="58"/>
        <v>16530</v>
      </c>
      <c r="H200" s="74">
        <f t="shared" si="59"/>
        <v>14</v>
      </c>
      <c r="I200" s="77">
        <f t="shared" si="55"/>
        <v>12180</v>
      </c>
      <c r="J200" s="198">
        <v>12</v>
      </c>
      <c r="K200" s="88">
        <f t="shared" si="56"/>
        <v>10440</v>
      </c>
      <c r="L200" s="76">
        <f t="shared" si="60"/>
        <v>5</v>
      </c>
      <c r="M200" s="73">
        <f t="shared" si="57"/>
        <v>4350</v>
      </c>
      <c r="N200" s="86">
        <f t="shared" si="61"/>
        <v>0.73684210526315785</v>
      </c>
      <c r="O200" s="8"/>
      <c r="P200" s="9">
        <f t="shared" si="40"/>
        <v>2</v>
      </c>
      <c r="Q200" s="9"/>
      <c r="R200" s="9"/>
      <c r="S200" s="9"/>
      <c r="T200" s="9"/>
      <c r="U200" s="9"/>
      <c r="V200" s="9"/>
      <c r="W200" s="9"/>
      <c r="X200" s="9"/>
      <c r="Y200" s="9"/>
      <c r="AA200" s="9"/>
      <c r="AB200" s="9"/>
      <c r="AC200" s="9"/>
      <c r="AD200" s="9"/>
      <c r="AE200" s="9"/>
      <c r="AF200" s="9"/>
      <c r="AG200" s="9"/>
      <c r="AH200" s="9"/>
      <c r="AL200" s="202">
        <v>2</v>
      </c>
      <c r="AM200" s="216"/>
      <c r="AN200" s="202"/>
    </row>
    <row r="201" spans="1:40" s="10" customFormat="1" ht="39.950000000000003" hidden="1" customHeight="1" x14ac:dyDescent="0.25">
      <c r="A201" s="239">
        <v>1</v>
      </c>
      <c r="B201" s="239" t="s">
        <v>405</v>
      </c>
      <c r="C201" s="263" t="s">
        <v>406</v>
      </c>
      <c r="D201" s="228" t="s">
        <v>387</v>
      </c>
      <c r="E201" s="255">
        <v>0</v>
      </c>
      <c r="F201" s="231">
        <v>672</v>
      </c>
      <c r="G201" s="231">
        <f t="shared" si="58"/>
        <v>0</v>
      </c>
      <c r="H201" s="232">
        <f t="shared" si="59"/>
        <v>0</v>
      </c>
      <c r="I201" s="236">
        <f t="shared" si="55"/>
        <v>0</v>
      </c>
      <c r="J201" s="245"/>
      <c r="K201" s="246">
        <f t="shared" si="56"/>
        <v>0</v>
      </c>
      <c r="L201" s="235">
        <f t="shared" si="60"/>
        <v>0</v>
      </c>
      <c r="M201" s="231">
        <f t="shared" si="57"/>
        <v>0</v>
      </c>
      <c r="N201" s="237" t="str">
        <f t="shared" si="61"/>
        <v/>
      </c>
      <c r="O201" s="8"/>
      <c r="P201" s="9">
        <f t="shared" si="40"/>
        <v>0</v>
      </c>
      <c r="Q201" s="9"/>
      <c r="R201" s="9"/>
      <c r="S201" s="9"/>
      <c r="T201" s="9"/>
      <c r="U201" s="9"/>
      <c r="V201" s="9"/>
      <c r="W201" s="9"/>
      <c r="X201" s="9"/>
      <c r="Y201" s="9"/>
      <c r="AA201" s="9"/>
      <c r="AB201" s="9"/>
      <c r="AC201" s="9"/>
      <c r="AD201" s="9"/>
      <c r="AE201" s="9"/>
      <c r="AF201" s="9"/>
      <c r="AG201" s="9"/>
      <c r="AH201" s="9"/>
      <c r="AL201" s="215"/>
      <c r="AM201" s="215"/>
      <c r="AN201" s="202"/>
    </row>
    <row r="202" spans="1:40" s="10" customFormat="1" ht="55.5" customHeight="1" x14ac:dyDescent="0.25">
      <c r="A202" s="53">
        <v>1</v>
      </c>
      <c r="B202" s="53" t="s">
        <v>407</v>
      </c>
      <c r="C202" s="89" t="s">
        <v>408</v>
      </c>
      <c r="D202" s="53" t="s">
        <v>71</v>
      </c>
      <c r="E202" s="71">
        <v>54</v>
      </c>
      <c r="F202" s="73">
        <v>917.64</v>
      </c>
      <c r="G202" s="73">
        <f t="shared" si="58"/>
        <v>49552.56</v>
      </c>
      <c r="H202" s="74">
        <f t="shared" si="59"/>
        <v>31.32</v>
      </c>
      <c r="I202" s="77">
        <f t="shared" si="55"/>
        <v>28740.48</v>
      </c>
      <c r="J202" s="181"/>
      <c r="K202" s="88">
        <f t="shared" si="56"/>
        <v>0</v>
      </c>
      <c r="L202" s="76">
        <f t="shared" si="60"/>
        <v>22.68</v>
      </c>
      <c r="M202" s="73">
        <f t="shared" si="57"/>
        <v>20812.080000000002</v>
      </c>
      <c r="N202" s="86">
        <f t="shared" si="61"/>
        <v>0.57999990313315797</v>
      </c>
      <c r="O202" s="8"/>
      <c r="P202" s="9">
        <f t="shared" si="40"/>
        <v>31.32</v>
      </c>
      <c r="Q202" s="9"/>
      <c r="R202" s="9"/>
      <c r="S202" s="9"/>
      <c r="T202" s="9"/>
      <c r="U202" s="9"/>
      <c r="V202" s="9"/>
      <c r="W202" s="9"/>
      <c r="X202" s="9"/>
      <c r="Y202" s="9"/>
      <c r="AA202" s="9"/>
      <c r="AB202" s="9"/>
      <c r="AC202" s="9"/>
      <c r="AD202" s="9"/>
      <c r="AE202" s="9"/>
      <c r="AF202" s="9"/>
      <c r="AG202" s="9"/>
      <c r="AH202" s="9"/>
      <c r="AL202" s="202">
        <v>30.3</v>
      </c>
      <c r="AM202" s="202"/>
      <c r="AN202" s="202">
        <v>1.02</v>
      </c>
    </row>
    <row r="203" spans="1:40" s="10" customFormat="1" ht="50.25" customHeight="1" x14ac:dyDescent="0.25">
      <c r="A203" s="53">
        <v>1</v>
      </c>
      <c r="B203" s="53" t="s">
        <v>409</v>
      </c>
      <c r="C203" s="69" t="s">
        <v>410</v>
      </c>
      <c r="D203" s="70" t="s">
        <v>71</v>
      </c>
      <c r="E203" s="71">
        <v>51.24</v>
      </c>
      <c r="F203" s="73">
        <v>1036.06</v>
      </c>
      <c r="G203" s="73">
        <f t="shared" si="58"/>
        <v>53087.714399999997</v>
      </c>
      <c r="H203" s="74">
        <f t="shared" si="59"/>
        <v>39.9</v>
      </c>
      <c r="I203" s="77">
        <f t="shared" si="55"/>
        <v>41338.79</v>
      </c>
      <c r="J203" s="198">
        <v>33.9</v>
      </c>
      <c r="K203" s="88">
        <f t="shared" si="56"/>
        <v>35122.43</v>
      </c>
      <c r="L203" s="76">
        <f t="shared" si="60"/>
        <v>11.340000000000003</v>
      </c>
      <c r="M203" s="73">
        <f t="shared" si="57"/>
        <v>11748.92</v>
      </c>
      <c r="N203" s="86">
        <f t="shared" si="61"/>
        <v>0.77868844924316427</v>
      </c>
      <c r="O203" s="8"/>
      <c r="P203" s="9">
        <f t="shared" si="40"/>
        <v>6</v>
      </c>
      <c r="Q203" s="9"/>
      <c r="R203" s="9"/>
      <c r="S203" s="9"/>
      <c r="T203" s="9"/>
      <c r="U203" s="9"/>
      <c r="V203" s="9"/>
      <c r="W203" s="9"/>
      <c r="X203" s="9"/>
      <c r="Y203" s="9"/>
      <c r="AA203" s="9"/>
      <c r="AB203" s="9"/>
      <c r="AC203" s="9"/>
      <c r="AD203" s="9"/>
      <c r="AE203" s="9"/>
      <c r="AF203" s="9"/>
      <c r="AG203" s="9"/>
      <c r="AH203" s="9"/>
      <c r="AL203" s="202">
        <v>6</v>
      </c>
      <c r="AM203" s="216"/>
      <c r="AN203" s="202"/>
    </row>
    <row r="204" spans="1:40" s="10" customFormat="1" ht="39.950000000000003" customHeight="1" x14ac:dyDescent="0.25">
      <c r="A204" s="53">
        <v>1</v>
      </c>
      <c r="B204" s="53" t="s">
        <v>411</v>
      </c>
      <c r="C204" s="69" t="s">
        <v>412</v>
      </c>
      <c r="D204" s="70" t="s">
        <v>71</v>
      </c>
      <c r="E204" s="71">
        <v>171.36</v>
      </c>
      <c r="F204" s="73">
        <v>41.05</v>
      </c>
      <c r="G204" s="73">
        <f t="shared" si="58"/>
        <v>7034.3280000000004</v>
      </c>
      <c r="H204" s="74">
        <f t="shared" si="59"/>
        <v>80.95</v>
      </c>
      <c r="I204" s="77">
        <f t="shared" si="55"/>
        <v>3323</v>
      </c>
      <c r="J204" s="181">
        <v>45.35</v>
      </c>
      <c r="K204" s="88">
        <f t="shared" si="56"/>
        <v>1861.62</v>
      </c>
      <c r="L204" s="76">
        <f t="shared" si="60"/>
        <v>90.410000000000011</v>
      </c>
      <c r="M204" s="73">
        <f t="shared" si="57"/>
        <v>3711.33</v>
      </c>
      <c r="N204" s="86">
        <f t="shared" si="61"/>
        <v>0.47239764765020908</v>
      </c>
      <c r="O204" s="8"/>
      <c r="P204" s="9">
        <f t="shared" si="40"/>
        <v>35.6</v>
      </c>
      <c r="Q204" s="9"/>
      <c r="R204" s="9"/>
      <c r="S204" s="9"/>
      <c r="T204" s="9"/>
      <c r="U204" s="9"/>
      <c r="V204" s="9"/>
      <c r="W204" s="9"/>
      <c r="X204" s="9"/>
      <c r="Y204" s="9"/>
      <c r="AA204" s="9"/>
      <c r="AB204" s="9"/>
      <c r="AC204" s="9"/>
      <c r="AD204" s="9"/>
      <c r="AE204" s="9"/>
      <c r="AF204" s="9"/>
      <c r="AG204" s="9"/>
      <c r="AH204" s="9"/>
      <c r="AL204" s="202">
        <v>34.58</v>
      </c>
      <c r="AM204" s="202"/>
      <c r="AN204" s="202">
        <v>1.02</v>
      </c>
    </row>
    <row r="205" spans="1:40" s="10" customFormat="1" ht="39.950000000000003" customHeight="1" x14ac:dyDescent="0.25">
      <c r="A205" s="68"/>
      <c r="B205" s="68"/>
      <c r="C205" s="83" t="s">
        <v>413</v>
      </c>
      <c r="D205" s="84"/>
      <c r="E205" s="84"/>
      <c r="F205" s="84"/>
      <c r="G205" s="84"/>
      <c r="H205" s="84"/>
      <c r="I205" s="193">
        <f t="shared" si="55"/>
        <v>0</v>
      </c>
      <c r="J205" s="84"/>
      <c r="K205" s="84">
        <f t="shared" si="56"/>
        <v>0</v>
      </c>
      <c r="L205" s="84"/>
      <c r="M205" s="84">
        <f t="shared" si="57"/>
        <v>0</v>
      </c>
      <c r="N205" s="221"/>
      <c r="O205" s="8"/>
      <c r="P205" s="9">
        <f t="shared" si="40"/>
        <v>0</v>
      </c>
      <c r="Q205" s="9"/>
      <c r="R205" s="9"/>
      <c r="S205" s="9"/>
      <c r="T205" s="9"/>
      <c r="U205" s="9"/>
      <c r="V205" s="9"/>
      <c r="W205" s="9"/>
      <c r="X205" s="9"/>
      <c r="Y205" s="9"/>
      <c r="AA205" s="9"/>
      <c r="AB205" s="9"/>
      <c r="AC205" s="9"/>
      <c r="AD205" s="9"/>
      <c r="AE205" s="9"/>
      <c r="AF205" s="9"/>
      <c r="AG205" s="9"/>
      <c r="AH205" s="9"/>
      <c r="AL205" s="203"/>
      <c r="AM205" s="203"/>
      <c r="AN205" s="203"/>
    </row>
    <row r="206" spans="1:40" s="10" customFormat="1" ht="39.950000000000003" customHeight="1" x14ac:dyDescent="0.25">
      <c r="A206" s="53">
        <v>1</v>
      </c>
      <c r="B206" s="55" t="s">
        <v>414</v>
      </c>
      <c r="C206" s="69" t="s">
        <v>415</v>
      </c>
      <c r="D206" s="70" t="s">
        <v>387</v>
      </c>
      <c r="E206" s="78">
        <v>12</v>
      </c>
      <c r="F206" s="72">
        <v>1030</v>
      </c>
      <c r="G206" s="73">
        <f t="shared" ref="G206:G212" si="62">E206*F206</f>
        <v>12360</v>
      </c>
      <c r="H206" s="74">
        <f t="shared" ref="H206:H212" si="63">P206+J206</f>
        <v>12</v>
      </c>
      <c r="I206" s="77">
        <f t="shared" si="55"/>
        <v>12360</v>
      </c>
      <c r="J206" s="198">
        <v>11</v>
      </c>
      <c r="K206" s="88">
        <f t="shared" si="56"/>
        <v>11330</v>
      </c>
      <c r="L206" s="76">
        <f t="shared" ref="L206:L212" si="64">E206-H206</f>
        <v>0</v>
      </c>
      <c r="M206" s="73">
        <f t="shared" si="57"/>
        <v>0</v>
      </c>
      <c r="N206" s="86">
        <f t="shared" ref="N206:N213" si="65">IF(G206=0,"",I206/G206)</f>
        <v>1</v>
      </c>
      <c r="O206" s="8"/>
      <c r="P206" s="9">
        <f t="shared" si="40"/>
        <v>1</v>
      </c>
      <c r="Q206" s="9"/>
      <c r="R206" s="9"/>
      <c r="S206" s="9"/>
      <c r="T206" s="9"/>
      <c r="U206" s="9"/>
      <c r="V206" s="9"/>
      <c r="W206" s="9"/>
      <c r="X206" s="9"/>
      <c r="Y206" s="9"/>
      <c r="AA206" s="9"/>
      <c r="AB206" s="9"/>
      <c r="AC206" s="9"/>
      <c r="AD206" s="9"/>
      <c r="AE206" s="9"/>
      <c r="AF206" s="9"/>
      <c r="AG206" s="9"/>
      <c r="AH206" s="9"/>
      <c r="AL206" s="202">
        <v>1</v>
      </c>
      <c r="AM206" s="216"/>
      <c r="AN206" s="202"/>
    </row>
    <row r="207" spans="1:40" s="10" customFormat="1" ht="39.950000000000003" customHeight="1" x14ac:dyDescent="0.25">
      <c r="A207" s="53">
        <v>1</v>
      </c>
      <c r="B207" s="55" t="s">
        <v>416</v>
      </c>
      <c r="C207" s="69" t="s">
        <v>417</v>
      </c>
      <c r="D207" s="70" t="s">
        <v>387</v>
      </c>
      <c r="E207" s="78">
        <v>8</v>
      </c>
      <c r="F207" s="72">
        <v>1105</v>
      </c>
      <c r="G207" s="73">
        <f t="shared" si="62"/>
        <v>8840</v>
      </c>
      <c r="H207" s="74">
        <f t="shared" si="63"/>
        <v>8</v>
      </c>
      <c r="I207" s="77">
        <f t="shared" si="55"/>
        <v>8840</v>
      </c>
      <c r="J207" s="198">
        <v>7</v>
      </c>
      <c r="K207" s="88">
        <f t="shared" si="56"/>
        <v>7735</v>
      </c>
      <c r="L207" s="76">
        <f t="shared" si="64"/>
        <v>0</v>
      </c>
      <c r="M207" s="73">
        <f t="shared" si="57"/>
        <v>0</v>
      </c>
      <c r="N207" s="86">
        <f t="shared" si="65"/>
        <v>1</v>
      </c>
      <c r="O207" s="8"/>
      <c r="P207" s="9">
        <f t="shared" si="40"/>
        <v>1</v>
      </c>
      <c r="Q207" s="9"/>
      <c r="R207" s="9"/>
      <c r="S207" s="9"/>
      <c r="T207" s="9"/>
      <c r="U207" s="9"/>
      <c r="V207" s="9"/>
      <c r="W207" s="9"/>
      <c r="X207" s="9"/>
      <c r="Y207" s="9"/>
      <c r="AA207" s="9"/>
      <c r="AB207" s="9"/>
      <c r="AC207" s="9"/>
      <c r="AD207" s="9"/>
      <c r="AE207" s="9"/>
      <c r="AF207" s="9"/>
      <c r="AG207" s="9"/>
      <c r="AH207" s="9"/>
      <c r="AL207" s="202">
        <v>1</v>
      </c>
      <c r="AM207" s="216"/>
      <c r="AN207" s="202"/>
    </row>
    <row r="208" spans="1:40" s="10" customFormat="1" ht="39.950000000000003" customHeight="1" x14ac:dyDescent="0.25">
      <c r="A208" s="53">
        <v>1</v>
      </c>
      <c r="B208" s="55" t="s">
        <v>418</v>
      </c>
      <c r="C208" s="69" t="s">
        <v>419</v>
      </c>
      <c r="D208" s="70" t="s">
        <v>387</v>
      </c>
      <c r="E208" s="78">
        <v>5</v>
      </c>
      <c r="F208" s="72">
        <v>112.5</v>
      </c>
      <c r="G208" s="73">
        <f t="shared" si="62"/>
        <v>562.5</v>
      </c>
      <c r="H208" s="74">
        <f t="shared" si="63"/>
        <v>5</v>
      </c>
      <c r="I208" s="77">
        <f t="shared" si="55"/>
        <v>562.5</v>
      </c>
      <c r="J208" s="198">
        <v>4</v>
      </c>
      <c r="K208" s="88">
        <f t="shared" si="56"/>
        <v>450</v>
      </c>
      <c r="L208" s="76">
        <f t="shared" si="64"/>
        <v>0</v>
      </c>
      <c r="M208" s="73">
        <f t="shared" si="57"/>
        <v>0</v>
      </c>
      <c r="N208" s="86">
        <f t="shared" si="65"/>
        <v>1</v>
      </c>
      <c r="O208" s="8"/>
      <c r="P208" s="9">
        <f t="shared" ref="P208:P271" si="66">SUM(Q208:AX208)</f>
        <v>1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L208" s="202">
        <v>1</v>
      </c>
      <c r="AM208" s="216"/>
      <c r="AN208" s="202"/>
    </row>
    <row r="209" spans="1:40" s="10" customFormat="1" ht="39.950000000000003" customHeight="1" x14ac:dyDescent="0.25">
      <c r="A209" s="53">
        <v>1</v>
      </c>
      <c r="B209" s="55" t="s">
        <v>420</v>
      </c>
      <c r="C209" s="69" t="s">
        <v>421</v>
      </c>
      <c r="D209" s="70" t="s">
        <v>387</v>
      </c>
      <c r="E209" s="78">
        <v>6</v>
      </c>
      <c r="F209" s="72">
        <v>525</v>
      </c>
      <c r="G209" s="73">
        <f t="shared" si="62"/>
        <v>3150</v>
      </c>
      <c r="H209" s="74">
        <f t="shared" si="63"/>
        <v>6</v>
      </c>
      <c r="I209" s="77">
        <f t="shared" si="55"/>
        <v>3150</v>
      </c>
      <c r="J209" s="198">
        <v>4</v>
      </c>
      <c r="K209" s="88">
        <f t="shared" si="56"/>
        <v>2100</v>
      </c>
      <c r="L209" s="76">
        <f t="shared" si="64"/>
        <v>0</v>
      </c>
      <c r="M209" s="73">
        <f t="shared" si="57"/>
        <v>0</v>
      </c>
      <c r="N209" s="86">
        <f t="shared" si="65"/>
        <v>1</v>
      </c>
      <c r="O209" s="8"/>
      <c r="P209" s="9">
        <f t="shared" si="66"/>
        <v>2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L209" s="202">
        <v>2</v>
      </c>
      <c r="AM209" s="216"/>
      <c r="AN209" s="202"/>
    </row>
    <row r="210" spans="1:40" s="10" customFormat="1" ht="39.950000000000003" customHeight="1" x14ac:dyDescent="0.25">
      <c r="A210" s="53">
        <v>1</v>
      </c>
      <c r="B210" s="55" t="s">
        <v>422</v>
      </c>
      <c r="C210" s="69" t="s">
        <v>423</v>
      </c>
      <c r="D210" s="70" t="s">
        <v>387</v>
      </c>
      <c r="E210" s="78">
        <v>6</v>
      </c>
      <c r="F210" s="72">
        <v>1050</v>
      </c>
      <c r="G210" s="73">
        <f t="shared" si="62"/>
        <v>6300</v>
      </c>
      <c r="H210" s="74">
        <f t="shared" si="63"/>
        <v>6</v>
      </c>
      <c r="I210" s="77">
        <f t="shared" si="55"/>
        <v>6300</v>
      </c>
      <c r="J210" s="198">
        <v>4</v>
      </c>
      <c r="K210" s="88">
        <f t="shared" si="56"/>
        <v>4200</v>
      </c>
      <c r="L210" s="76">
        <f t="shared" si="64"/>
        <v>0</v>
      </c>
      <c r="M210" s="73">
        <f t="shared" si="57"/>
        <v>0</v>
      </c>
      <c r="N210" s="86">
        <f t="shared" si="65"/>
        <v>1</v>
      </c>
      <c r="O210" s="8"/>
      <c r="P210" s="9">
        <f t="shared" si="66"/>
        <v>2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L210" s="202">
        <v>2</v>
      </c>
      <c r="AM210" s="216"/>
      <c r="AN210" s="202"/>
    </row>
    <row r="211" spans="1:40" s="10" customFormat="1" ht="39.950000000000003" customHeight="1" x14ac:dyDescent="0.25">
      <c r="A211" s="53">
        <v>1</v>
      </c>
      <c r="B211" s="55" t="s">
        <v>424</v>
      </c>
      <c r="C211" s="69" t="s">
        <v>425</v>
      </c>
      <c r="D211" s="70" t="s">
        <v>387</v>
      </c>
      <c r="E211" s="78">
        <v>16</v>
      </c>
      <c r="F211" s="72">
        <v>680</v>
      </c>
      <c r="G211" s="73">
        <f t="shared" si="62"/>
        <v>10880</v>
      </c>
      <c r="H211" s="74">
        <f t="shared" si="63"/>
        <v>16</v>
      </c>
      <c r="I211" s="77">
        <f t="shared" si="55"/>
        <v>10880</v>
      </c>
      <c r="J211" s="198">
        <v>12</v>
      </c>
      <c r="K211" s="88">
        <f t="shared" si="56"/>
        <v>8160</v>
      </c>
      <c r="L211" s="76">
        <f t="shared" si="64"/>
        <v>0</v>
      </c>
      <c r="M211" s="73">
        <f t="shared" si="57"/>
        <v>0</v>
      </c>
      <c r="N211" s="86">
        <f t="shared" si="65"/>
        <v>1</v>
      </c>
      <c r="O211" s="8"/>
      <c r="P211" s="9">
        <f t="shared" si="66"/>
        <v>4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L211" s="202">
        <v>4</v>
      </c>
      <c r="AM211" s="216"/>
      <c r="AN211" s="202"/>
    </row>
    <row r="212" spans="1:40" s="10" customFormat="1" ht="39.950000000000003" customHeight="1" x14ac:dyDescent="0.25">
      <c r="A212" s="53">
        <v>1</v>
      </c>
      <c r="B212" s="55" t="s">
        <v>426</v>
      </c>
      <c r="C212" s="69" t="s">
        <v>427</v>
      </c>
      <c r="D212" s="70" t="s">
        <v>387</v>
      </c>
      <c r="E212" s="78">
        <v>2</v>
      </c>
      <c r="F212" s="72">
        <v>11000</v>
      </c>
      <c r="G212" s="73">
        <f t="shared" si="62"/>
        <v>22000</v>
      </c>
      <c r="H212" s="74">
        <f t="shared" si="63"/>
        <v>2</v>
      </c>
      <c r="I212" s="77">
        <f t="shared" si="55"/>
        <v>22000</v>
      </c>
      <c r="J212" s="198">
        <v>1</v>
      </c>
      <c r="K212" s="88">
        <f t="shared" si="56"/>
        <v>11000</v>
      </c>
      <c r="L212" s="76">
        <f t="shared" si="64"/>
        <v>0</v>
      </c>
      <c r="M212" s="73">
        <f t="shared" si="57"/>
        <v>0</v>
      </c>
      <c r="N212" s="86">
        <f t="shared" si="65"/>
        <v>1</v>
      </c>
      <c r="O212" s="8"/>
      <c r="P212" s="9">
        <f t="shared" si="66"/>
        <v>1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L212" s="202">
        <v>1</v>
      </c>
      <c r="AM212" s="216"/>
      <c r="AN212" s="202"/>
    </row>
    <row r="213" spans="1:40" s="10" customFormat="1" ht="39.950000000000003" customHeight="1" x14ac:dyDescent="0.25">
      <c r="A213" s="274" t="s">
        <v>428</v>
      </c>
      <c r="B213" s="274"/>
      <c r="C213" s="274"/>
      <c r="D213" s="274"/>
      <c r="E213" s="274"/>
      <c r="F213" s="274"/>
      <c r="G213" s="79">
        <f>SUM(G188:G212)</f>
        <v>462866.0416</v>
      </c>
      <c r="H213" s="80"/>
      <c r="I213" s="79">
        <f>SUM(I188:I212)</f>
        <v>242227.1</v>
      </c>
      <c r="J213" s="81"/>
      <c r="K213" s="79">
        <f>SUM(K188:K212)</f>
        <v>134019.12</v>
      </c>
      <c r="L213" s="82"/>
      <c r="M213" s="79">
        <f>SUM(M188:M212)</f>
        <v>220638.94</v>
      </c>
      <c r="N213" s="93">
        <f t="shared" si="65"/>
        <v>0.52332009313685635</v>
      </c>
      <c r="O213" s="8"/>
      <c r="P213" s="9">
        <f t="shared" si="66"/>
        <v>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L213" s="215"/>
      <c r="AM213" s="215"/>
      <c r="AN213" s="215"/>
    </row>
    <row r="214" spans="1:40" s="10" customFormat="1" ht="39.950000000000003" customHeight="1" x14ac:dyDescent="0.25">
      <c r="A214" s="68">
        <v>1</v>
      </c>
      <c r="B214" s="68" t="s">
        <v>429</v>
      </c>
      <c r="C214" s="83" t="s">
        <v>430</v>
      </c>
      <c r="D214" s="84"/>
      <c r="E214" s="84"/>
      <c r="F214" s="84"/>
      <c r="G214" s="84"/>
      <c r="H214" s="84"/>
      <c r="I214" s="84"/>
      <c r="J214" s="84"/>
      <c r="K214" s="84">
        <f t="shared" si="56"/>
        <v>0</v>
      </c>
      <c r="L214" s="84"/>
      <c r="M214" s="84"/>
      <c r="N214" s="221"/>
      <c r="O214" s="8"/>
      <c r="P214" s="9">
        <f t="shared" si="66"/>
        <v>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L214" s="203"/>
      <c r="AM214" s="203"/>
      <c r="AN214" s="203"/>
    </row>
    <row r="215" spans="1:40" s="10" customFormat="1" ht="108" x14ac:dyDescent="0.25">
      <c r="A215" s="55">
        <v>1</v>
      </c>
      <c r="B215" s="55" t="s">
        <v>431</v>
      </c>
      <c r="C215" s="126" t="s">
        <v>432</v>
      </c>
      <c r="D215" s="70" t="s">
        <v>433</v>
      </c>
      <c r="E215" s="78">
        <v>100</v>
      </c>
      <c r="F215" s="72">
        <v>2988.31</v>
      </c>
      <c r="G215" s="73">
        <f t="shared" ref="G215:G226" si="67">ROUND(E215*F215,2)</f>
        <v>298831</v>
      </c>
      <c r="H215" s="74">
        <f t="shared" ref="H215:H226" si="68">P215+J215</f>
        <v>89</v>
      </c>
      <c r="I215" s="73">
        <f t="shared" ref="I215:I229" si="69">ROUND(H215*F215,2)</f>
        <v>265959.59000000003</v>
      </c>
      <c r="J215" s="179"/>
      <c r="K215" s="75">
        <f t="shared" si="56"/>
        <v>0</v>
      </c>
      <c r="L215" s="76">
        <f t="shared" ref="L215:L226" si="70">E215-H215</f>
        <v>11</v>
      </c>
      <c r="M215" s="73">
        <f t="shared" ref="M215:M229" si="71">ROUND(G215-I215,2)</f>
        <v>32871.410000000003</v>
      </c>
      <c r="N215" s="86">
        <f t="shared" ref="N215:N226" si="72">IF(G215=0,"",I215/G215)</f>
        <v>0.89000000000000012</v>
      </c>
      <c r="O215" s="8"/>
      <c r="P215" s="9">
        <f t="shared" si="66"/>
        <v>89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>
        <v>23.85</v>
      </c>
      <c r="AF215" s="9"/>
      <c r="AG215" s="9">
        <v>7.95</v>
      </c>
      <c r="AH215" s="9">
        <v>41.2</v>
      </c>
      <c r="AI215" s="10">
        <v>10</v>
      </c>
      <c r="AK215" s="10">
        <v>6</v>
      </c>
      <c r="AL215" s="205"/>
      <c r="AM215" s="205"/>
      <c r="AN215" s="205"/>
    </row>
    <row r="216" spans="1:40" s="10" customFormat="1" ht="108" x14ac:dyDescent="0.25">
      <c r="A216" s="55">
        <v>1</v>
      </c>
      <c r="B216" s="55" t="s">
        <v>434</v>
      </c>
      <c r="C216" s="127" t="s">
        <v>435</v>
      </c>
      <c r="D216" s="128" t="s">
        <v>433</v>
      </c>
      <c r="E216" s="71">
        <v>14</v>
      </c>
      <c r="F216" s="72">
        <v>4395.3500000000004</v>
      </c>
      <c r="G216" s="73">
        <f t="shared" si="67"/>
        <v>61534.9</v>
      </c>
      <c r="H216" s="74">
        <f t="shared" si="68"/>
        <v>13</v>
      </c>
      <c r="I216" s="73">
        <f t="shared" si="69"/>
        <v>57139.55</v>
      </c>
      <c r="J216" s="179">
        <v>9</v>
      </c>
      <c r="K216" s="75">
        <f t="shared" si="56"/>
        <v>39558.15</v>
      </c>
      <c r="L216" s="76">
        <f t="shared" si="70"/>
        <v>1</v>
      </c>
      <c r="M216" s="73">
        <f t="shared" si="71"/>
        <v>4395.3500000000004</v>
      </c>
      <c r="N216" s="86">
        <f t="shared" si="72"/>
        <v>0.9285714285714286</v>
      </c>
      <c r="O216" s="8"/>
      <c r="P216" s="9">
        <f t="shared" si="66"/>
        <v>4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4</v>
      </c>
      <c r="AL216" s="205"/>
      <c r="AM216" s="205"/>
      <c r="AN216" s="205"/>
    </row>
    <row r="217" spans="1:40" s="10" customFormat="1" ht="108" hidden="1" x14ac:dyDescent="0.25">
      <c r="A217" s="226">
        <v>1</v>
      </c>
      <c r="B217" s="226" t="s">
        <v>436</v>
      </c>
      <c r="C217" s="264" t="s">
        <v>437</v>
      </c>
      <c r="D217" s="265" t="s">
        <v>433</v>
      </c>
      <c r="E217" s="252">
        <v>0</v>
      </c>
      <c r="F217" s="230">
        <v>2610.5700000000002</v>
      </c>
      <c r="G217" s="231">
        <f t="shared" si="67"/>
        <v>0</v>
      </c>
      <c r="H217" s="232">
        <f t="shared" si="68"/>
        <v>0</v>
      </c>
      <c r="I217" s="244">
        <f t="shared" si="69"/>
        <v>0</v>
      </c>
      <c r="J217" s="245"/>
      <c r="K217" s="246">
        <f t="shared" si="56"/>
        <v>0</v>
      </c>
      <c r="L217" s="235">
        <f t="shared" si="70"/>
        <v>0</v>
      </c>
      <c r="M217" s="231">
        <f t="shared" si="71"/>
        <v>0</v>
      </c>
      <c r="N217" s="237" t="str">
        <f t="shared" si="72"/>
        <v/>
      </c>
      <c r="O217" s="8"/>
      <c r="P217" s="9">
        <f t="shared" si="66"/>
        <v>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L217" s="202"/>
      <c r="AM217" s="202"/>
      <c r="AN217" s="202"/>
    </row>
    <row r="218" spans="1:40" s="10" customFormat="1" ht="108" hidden="1" x14ac:dyDescent="0.25">
      <c r="A218" s="239">
        <v>1</v>
      </c>
      <c r="B218" s="239" t="s">
        <v>438</v>
      </c>
      <c r="C218" s="264" t="s">
        <v>439</v>
      </c>
      <c r="D218" s="265" t="s">
        <v>433</v>
      </c>
      <c r="E218" s="252">
        <v>0</v>
      </c>
      <c r="F218" s="230">
        <v>5861.02</v>
      </c>
      <c r="G218" s="231">
        <f t="shared" si="67"/>
        <v>0</v>
      </c>
      <c r="H218" s="232">
        <f t="shared" si="68"/>
        <v>0</v>
      </c>
      <c r="I218" s="244">
        <f t="shared" si="69"/>
        <v>0</v>
      </c>
      <c r="J218" s="245"/>
      <c r="K218" s="246">
        <f t="shared" si="56"/>
        <v>0</v>
      </c>
      <c r="L218" s="235">
        <f t="shared" si="70"/>
        <v>0</v>
      </c>
      <c r="M218" s="231">
        <f t="shared" si="71"/>
        <v>0</v>
      </c>
      <c r="N218" s="237" t="str">
        <f t="shared" si="72"/>
        <v/>
      </c>
      <c r="O218" s="8"/>
      <c r="P218" s="9">
        <f t="shared" si="66"/>
        <v>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L218" s="202"/>
      <c r="AM218" s="202"/>
      <c r="AN218" s="202"/>
    </row>
    <row r="219" spans="1:40" s="10" customFormat="1" ht="54" x14ac:dyDescent="0.25">
      <c r="A219" s="55">
        <v>1</v>
      </c>
      <c r="B219" s="53" t="s">
        <v>440</v>
      </c>
      <c r="C219" s="89" t="s">
        <v>441</v>
      </c>
      <c r="D219" s="128" t="s">
        <v>45</v>
      </c>
      <c r="E219" s="106">
        <v>4501.5600000000004</v>
      </c>
      <c r="F219" s="72">
        <v>45.89</v>
      </c>
      <c r="G219" s="73">
        <f t="shared" si="67"/>
        <v>206576.59</v>
      </c>
      <c r="H219" s="74">
        <f t="shared" si="68"/>
        <v>3094.72</v>
      </c>
      <c r="I219" s="73">
        <f t="shared" si="69"/>
        <v>142016.70000000001</v>
      </c>
      <c r="J219" s="179">
        <v>19.73</v>
      </c>
      <c r="K219" s="75">
        <f t="shared" si="56"/>
        <v>905.41</v>
      </c>
      <c r="L219" s="76">
        <f t="shared" si="70"/>
        <v>1406.8400000000006</v>
      </c>
      <c r="M219" s="73">
        <f t="shared" si="71"/>
        <v>64559.89</v>
      </c>
      <c r="N219" s="86">
        <f t="shared" si="72"/>
        <v>0.68747722091840135</v>
      </c>
      <c r="O219" s="8"/>
      <c r="P219" s="9">
        <f t="shared" si="66"/>
        <v>3074.99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>
        <v>1766.47</v>
      </c>
      <c r="AF219" s="9"/>
      <c r="AG219" s="9">
        <v>439.88</v>
      </c>
      <c r="AH219" s="9">
        <v>304.29000000000002</v>
      </c>
      <c r="AI219" s="10">
        <v>115</v>
      </c>
      <c r="AJ219" s="10">
        <v>449.35</v>
      </c>
      <c r="AL219" s="205"/>
      <c r="AM219" s="205"/>
      <c r="AN219" s="205"/>
    </row>
    <row r="220" spans="1:40" s="10" customFormat="1" ht="60.75" customHeight="1" x14ac:dyDescent="0.25">
      <c r="A220" s="55">
        <v>1</v>
      </c>
      <c r="B220" s="53" t="s">
        <v>442</v>
      </c>
      <c r="C220" s="89" t="s">
        <v>443</v>
      </c>
      <c r="D220" s="128" t="s">
        <v>45</v>
      </c>
      <c r="E220" s="106">
        <v>394.16</v>
      </c>
      <c r="F220" s="72">
        <v>18.329999999999998</v>
      </c>
      <c r="G220" s="73">
        <f t="shared" si="67"/>
        <v>7224.95</v>
      </c>
      <c r="H220" s="74">
        <f t="shared" si="68"/>
        <v>0</v>
      </c>
      <c r="I220" s="87">
        <f t="shared" si="69"/>
        <v>0</v>
      </c>
      <c r="J220" s="181"/>
      <c r="K220" s="88">
        <f t="shared" si="56"/>
        <v>0</v>
      </c>
      <c r="L220" s="76">
        <f t="shared" si="70"/>
        <v>394.16</v>
      </c>
      <c r="M220" s="73">
        <f t="shared" si="71"/>
        <v>7224.95</v>
      </c>
      <c r="N220" s="86">
        <f t="shared" si="72"/>
        <v>0</v>
      </c>
      <c r="O220" s="8"/>
      <c r="P220" s="9">
        <f t="shared" si="66"/>
        <v>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L220" s="202"/>
      <c r="AM220" s="202"/>
      <c r="AN220" s="202"/>
    </row>
    <row r="221" spans="1:40" s="10" customFormat="1" ht="50.25" customHeight="1" x14ac:dyDescent="0.25">
      <c r="A221" s="55">
        <v>1</v>
      </c>
      <c r="B221" s="53" t="s">
        <v>444</v>
      </c>
      <c r="C221" s="89" t="s">
        <v>445</v>
      </c>
      <c r="D221" s="128" t="s">
        <v>433</v>
      </c>
      <c r="E221" s="106">
        <v>180</v>
      </c>
      <c r="F221" s="72">
        <v>224.95</v>
      </c>
      <c r="G221" s="73">
        <f t="shared" si="67"/>
        <v>40491</v>
      </c>
      <c r="H221" s="74">
        <f t="shared" si="68"/>
        <v>121</v>
      </c>
      <c r="I221" s="73">
        <f t="shared" si="69"/>
        <v>27218.95</v>
      </c>
      <c r="J221" s="179"/>
      <c r="K221" s="75">
        <f t="shared" si="56"/>
        <v>0</v>
      </c>
      <c r="L221" s="76">
        <f t="shared" si="70"/>
        <v>59</v>
      </c>
      <c r="M221" s="73">
        <f t="shared" si="71"/>
        <v>13272.05</v>
      </c>
      <c r="N221" s="86">
        <f t="shared" si="72"/>
        <v>0.67222222222222228</v>
      </c>
      <c r="O221" s="8"/>
      <c r="P221" s="9">
        <f t="shared" si="66"/>
        <v>121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>
        <v>72</v>
      </c>
      <c r="AF221" s="9"/>
      <c r="AG221" s="9">
        <v>19</v>
      </c>
      <c r="AH221" s="9">
        <v>12</v>
      </c>
      <c r="AI221" s="10">
        <v>6</v>
      </c>
      <c r="AJ221" s="10">
        <v>12</v>
      </c>
      <c r="AL221" s="205"/>
      <c r="AM221" s="205"/>
      <c r="AN221" s="205"/>
    </row>
    <row r="222" spans="1:40" s="10" customFormat="1" ht="39.950000000000003" customHeight="1" x14ac:dyDescent="0.25">
      <c r="A222" s="55">
        <v>1</v>
      </c>
      <c r="B222" s="53" t="s">
        <v>446</v>
      </c>
      <c r="C222" s="89" t="s">
        <v>447</v>
      </c>
      <c r="D222" s="128" t="s">
        <v>433</v>
      </c>
      <c r="E222" s="106">
        <v>7</v>
      </c>
      <c r="F222" s="72">
        <v>3653.88</v>
      </c>
      <c r="G222" s="73">
        <f t="shared" si="67"/>
        <v>25577.16</v>
      </c>
      <c r="H222" s="74">
        <f t="shared" si="68"/>
        <v>5</v>
      </c>
      <c r="I222" s="73">
        <f t="shared" si="69"/>
        <v>18269.400000000001</v>
      </c>
      <c r="J222" s="179"/>
      <c r="K222" s="75">
        <f t="shared" si="56"/>
        <v>0</v>
      </c>
      <c r="L222" s="76">
        <f t="shared" si="70"/>
        <v>2</v>
      </c>
      <c r="M222" s="73">
        <f t="shared" si="71"/>
        <v>7307.76</v>
      </c>
      <c r="N222" s="86">
        <f t="shared" si="72"/>
        <v>0.7142857142857143</v>
      </c>
      <c r="O222" s="8"/>
      <c r="P222" s="9">
        <f t="shared" si="66"/>
        <v>5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3</v>
      </c>
      <c r="AJ222" s="10">
        <v>2</v>
      </c>
      <c r="AL222" s="205"/>
      <c r="AM222" s="205"/>
      <c r="AN222" s="205"/>
    </row>
    <row r="223" spans="1:40" s="10" customFormat="1" ht="39.950000000000003" customHeight="1" x14ac:dyDescent="0.25">
      <c r="A223" s="55">
        <v>1</v>
      </c>
      <c r="B223" s="53" t="s">
        <v>448</v>
      </c>
      <c r="C223" s="89" t="s">
        <v>449</v>
      </c>
      <c r="D223" s="128" t="s">
        <v>433</v>
      </c>
      <c r="E223" s="106">
        <v>8</v>
      </c>
      <c r="F223" s="72">
        <v>774.4</v>
      </c>
      <c r="G223" s="73">
        <f t="shared" si="67"/>
        <v>6195.2</v>
      </c>
      <c r="H223" s="74">
        <f t="shared" si="68"/>
        <v>5</v>
      </c>
      <c r="I223" s="87">
        <f t="shared" si="69"/>
        <v>3872</v>
      </c>
      <c r="J223" s="181">
        <v>5</v>
      </c>
      <c r="K223" s="88">
        <f t="shared" si="56"/>
        <v>3872</v>
      </c>
      <c r="L223" s="76">
        <f t="shared" si="70"/>
        <v>3</v>
      </c>
      <c r="M223" s="73">
        <f t="shared" si="71"/>
        <v>2323.1999999999998</v>
      </c>
      <c r="N223" s="86">
        <f t="shared" si="72"/>
        <v>0.625</v>
      </c>
      <c r="O223" s="8"/>
      <c r="P223" s="9">
        <f t="shared" si="66"/>
        <v>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L223" s="202"/>
      <c r="AM223" s="202"/>
      <c r="AN223" s="202"/>
    </row>
    <row r="224" spans="1:40" s="10" customFormat="1" ht="39.950000000000003" customHeight="1" x14ac:dyDescent="0.25">
      <c r="A224" s="55">
        <v>1</v>
      </c>
      <c r="B224" s="53" t="s">
        <v>450</v>
      </c>
      <c r="C224" s="89" t="s">
        <v>451</v>
      </c>
      <c r="D224" s="128" t="s">
        <v>433</v>
      </c>
      <c r="E224" s="106">
        <v>8</v>
      </c>
      <c r="F224" s="72">
        <v>1093.17</v>
      </c>
      <c r="G224" s="73">
        <f t="shared" si="67"/>
        <v>8745.36</v>
      </c>
      <c r="H224" s="74">
        <f t="shared" si="68"/>
        <v>5</v>
      </c>
      <c r="I224" s="87">
        <f t="shared" si="69"/>
        <v>5465.85</v>
      </c>
      <c r="J224" s="181"/>
      <c r="K224" s="88">
        <f t="shared" si="56"/>
        <v>0</v>
      </c>
      <c r="L224" s="76">
        <f t="shared" si="70"/>
        <v>3</v>
      </c>
      <c r="M224" s="73">
        <f t="shared" si="71"/>
        <v>3279.51</v>
      </c>
      <c r="N224" s="86">
        <f t="shared" si="72"/>
        <v>0.625</v>
      </c>
      <c r="O224" s="8"/>
      <c r="P224" s="9">
        <f t="shared" si="66"/>
        <v>5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J224" s="10">
        <v>5</v>
      </c>
      <c r="AL224" s="202"/>
      <c r="AM224" s="202"/>
      <c r="AN224" s="202"/>
    </row>
    <row r="225" spans="1:40" s="10" customFormat="1" ht="39.950000000000003" hidden="1" customHeight="1" x14ac:dyDescent="0.25">
      <c r="A225" s="266">
        <v>1</v>
      </c>
      <c r="B225" s="239" t="s">
        <v>452</v>
      </c>
      <c r="C225" s="238" t="s">
        <v>453</v>
      </c>
      <c r="D225" s="265" t="s">
        <v>45</v>
      </c>
      <c r="E225" s="252">
        <v>0</v>
      </c>
      <c r="F225" s="240">
        <v>9.7799999999999994</v>
      </c>
      <c r="G225" s="231">
        <f t="shared" si="67"/>
        <v>0</v>
      </c>
      <c r="H225" s="232">
        <f t="shared" si="68"/>
        <v>0</v>
      </c>
      <c r="I225" s="244">
        <f t="shared" si="69"/>
        <v>0</v>
      </c>
      <c r="J225" s="245"/>
      <c r="K225" s="246">
        <f t="shared" si="56"/>
        <v>0</v>
      </c>
      <c r="L225" s="235">
        <f t="shared" si="70"/>
        <v>0</v>
      </c>
      <c r="M225" s="231">
        <f t="shared" si="71"/>
        <v>0</v>
      </c>
      <c r="N225" s="237" t="str">
        <f t="shared" si="72"/>
        <v/>
      </c>
      <c r="O225" s="8"/>
      <c r="P225" s="9">
        <f t="shared" si="66"/>
        <v>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L225" s="202"/>
      <c r="AM225" s="202"/>
      <c r="AN225" s="202"/>
    </row>
    <row r="226" spans="1:40" s="10" customFormat="1" ht="39.950000000000003" customHeight="1" x14ac:dyDescent="0.25">
      <c r="A226" s="55">
        <v>1</v>
      </c>
      <c r="B226" s="53" t="s">
        <v>454</v>
      </c>
      <c r="C226" s="89" t="s">
        <v>455</v>
      </c>
      <c r="D226" s="128" t="s">
        <v>456</v>
      </c>
      <c r="E226" s="106">
        <v>200</v>
      </c>
      <c r="F226" s="72">
        <v>115.63</v>
      </c>
      <c r="G226" s="73">
        <f t="shared" si="67"/>
        <v>23126</v>
      </c>
      <c r="H226" s="74">
        <f t="shared" si="68"/>
        <v>170</v>
      </c>
      <c r="I226" s="87">
        <f t="shared" si="69"/>
        <v>19657.099999999999</v>
      </c>
      <c r="J226" s="181">
        <v>114</v>
      </c>
      <c r="K226" s="88">
        <f t="shared" si="56"/>
        <v>13181.82</v>
      </c>
      <c r="L226" s="76">
        <f t="shared" si="70"/>
        <v>30</v>
      </c>
      <c r="M226" s="73">
        <f t="shared" si="71"/>
        <v>3468.9</v>
      </c>
      <c r="N226" s="86">
        <f t="shared" si="72"/>
        <v>0.85</v>
      </c>
      <c r="O226" s="8"/>
      <c r="P226" s="9">
        <f t="shared" si="66"/>
        <v>56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J226" s="10">
        <v>41</v>
      </c>
      <c r="AK226" s="10">
        <v>15</v>
      </c>
      <c r="AL226" s="202"/>
      <c r="AM226" s="202"/>
      <c r="AN226" s="202"/>
    </row>
    <row r="227" spans="1:40" s="10" customFormat="1" ht="39.950000000000003" customHeight="1" x14ac:dyDescent="0.25">
      <c r="A227" s="68"/>
      <c r="B227" s="68"/>
      <c r="C227" s="83" t="s">
        <v>457</v>
      </c>
      <c r="D227" s="84"/>
      <c r="E227" s="84"/>
      <c r="F227" s="84"/>
      <c r="G227" s="84"/>
      <c r="H227" s="84"/>
      <c r="I227" s="84">
        <f t="shared" si="69"/>
        <v>0</v>
      </c>
      <c r="J227" s="84"/>
      <c r="K227" s="84">
        <f t="shared" si="56"/>
        <v>0</v>
      </c>
      <c r="L227" s="84"/>
      <c r="M227" s="84">
        <f t="shared" si="71"/>
        <v>0</v>
      </c>
      <c r="N227" s="221"/>
      <c r="O227" s="8"/>
      <c r="P227" s="9">
        <f t="shared" si="66"/>
        <v>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L227" s="203"/>
      <c r="AM227" s="203"/>
      <c r="AN227" s="203"/>
    </row>
    <row r="228" spans="1:40" s="10" customFormat="1" ht="54" x14ac:dyDescent="0.25">
      <c r="A228" s="55">
        <v>1</v>
      </c>
      <c r="B228" s="55" t="s">
        <v>458</v>
      </c>
      <c r="C228" s="89" t="s">
        <v>459</v>
      </c>
      <c r="D228" s="128" t="s">
        <v>45</v>
      </c>
      <c r="E228" s="106">
        <v>4000</v>
      </c>
      <c r="F228" s="73">
        <v>59.56</v>
      </c>
      <c r="G228" s="73">
        <f>ROUND(E228*F228,2)</f>
        <v>238240</v>
      </c>
      <c r="H228" s="74">
        <f>P228+J228</f>
        <v>2245.5299999999997</v>
      </c>
      <c r="I228" s="73">
        <f t="shared" si="69"/>
        <v>133743.76999999999</v>
      </c>
      <c r="J228" s="179"/>
      <c r="K228" s="75">
        <f t="shared" si="56"/>
        <v>0</v>
      </c>
      <c r="L228" s="76">
        <f>E228-H228</f>
        <v>1754.4700000000003</v>
      </c>
      <c r="M228" s="73">
        <f t="shared" si="71"/>
        <v>104496.23</v>
      </c>
      <c r="N228" s="86">
        <f>IF(G228=0,"",I228/G228)</f>
        <v>0.56138251343183343</v>
      </c>
      <c r="O228" s="8"/>
      <c r="P228" s="9">
        <f t="shared" si="66"/>
        <v>2245.5299999999997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>
        <v>1414.78</v>
      </c>
      <c r="AF228" s="9"/>
      <c r="AG228" s="9">
        <v>439.88</v>
      </c>
      <c r="AH228" s="9">
        <v>304.29000000000002</v>
      </c>
      <c r="AJ228" s="10">
        <v>86.58</v>
      </c>
      <c r="AL228" s="205"/>
      <c r="AM228" s="205"/>
      <c r="AN228" s="205"/>
    </row>
    <row r="229" spans="1:40" s="10" customFormat="1" ht="36" x14ac:dyDescent="0.25">
      <c r="A229" s="55">
        <v>1</v>
      </c>
      <c r="B229" s="55" t="s">
        <v>460</v>
      </c>
      <c r="C229" s="89" t="s">
        <v>445</v>
      </c>
      <c r="D229" s="128" t="s">
        <v>433</v>
      </c>
      <c r="E229" s="106">
        <v>60</v>
      </c>
      <c r="F229" s="73">
        <v>224.95</v>
      </c>
      <c r="G229" s="73">
        <f>ROUND(E229*F229,2)</f>
        <v>13497</v>
      </c>
      <c r="H229" s="74">
        <f>P229+J229</f>
        <v>42</v>
      </c>
      <c r="I229" s="73">
        <f t="shared" si="69"/>
        <v>9447.9</v>
      </c>
      <c r="J229" s="179"/>
      <c r="K229" s="75">
        <f t="shared" si="56"/>
        <v>0</v>
      </c>
      <c r="L229" s="76">
        <f>E229-H229</f>
        <v>18</v>
      </c>
      <c r="M229" s="73">
        <f t="shared" si="71"/>
        <v>4049.1</v>
      </c>
      <c r="N229" s="86">
        <f>IF(G229=0,"",I229/G229)</f>
        <v>0.7</v>
      </c>
      <c r="O229" s="8"/>
      <c r="P229" s="9">
        <f t="shared" si="66"/>
        <v>42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>
        <v>19</v>
      </c>
      <c r="AF229" s="9"/>
      <c r="AG229" s="9">
        <v>5</v>
      </c>
      <c r="AH229" s="9">
        <v>12</v>
      </c>
      <c r="AK229" s="10">
        <v>6</v>
      </c>
      <c r="AL229" s="205"/>
      <c r="AM229" s="205"/>
      <c r="AN229" s="205"/>
    </row>
    <row r="230" spans="1:40" s="10" customFormat="1" ht="39.950000000000003" customHeight="1" x14ac:dyDescent="0.25">
      <c r="A230" s="274" t="s">
        <v>461</v>
      </c>
      <c r="B230" s="274"/>
      <c r="C230" s="274"/>
      <c r="D230" s="274"/>
      <c r="E230" s="274"/>
      <c r="F230" s="274"/>
      <c r="G230" s="79">
        <f>SUM(G215:G229)</f>
        <v>930039.15999999992</v>
      </c>
      <c r="H230" s="80"/>
      <c r="I230" s="79">
        <f>SUM(I215:I229)</f>
        <v>682790.81</v>
      </c>
      <c r="J230" s="81"/>
      <c r="K230" s="79">
        <f>SUM(K215:K229)</f>
        <v>57517.380000000005</v>
      </c>
      <c r="L230" s="82"/>
      <c r="M230" s="79">
        <f>SUM(M215:M229)</f>
        <v>247248.35</v>
      </c>
      <c r="N230" s="93">
        <f>IF(G230=0,"",I230/G230)</f>
        <v>0.73415275330987151</v>
      </c>
      <c r="O230" s="8"/>
      <c r="P230" s="9">
        <f t="shared" si="66"/>
        <v>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L230" s="215"/>
      <c r="AM230" s="215"/>
      <c r="AN230" s="202"/>
    </row>
    <row r="231" spans="1:40" s="10" customFormat="1" ht="39.950000000000003" customHeight="1" x14ac:dyDescent="0.25">
      <c r="A231" s="194">
        <v>1</v>
      </c>
      <c r="B231" s="194" t="s">
        <v>462</v>
      </c>
      <c r="C231" s="195" t="s">
        <v>463</v>
      </c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224"/>
      <c r="O231" s="8"/>
      <c r="P231" s="9">
        <f t="shared" si="66"/>
        <v>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L231" s="217"/>
      <c r="AM231" s="217"/>
      <c r="AN231" s="217"/>
    </row>
    <row r="232" spans="1:40" s="10" customFormat="1" ht="39.950000000000003" customHeight="1" x14ac:dyDescent="0.25">
      <c r="A232" s="55">
        <v>1</v>
      </c>
      <c r="B232" s="55" t="s">
        <v>464</v>
      </c>
      <c r="C232" s="69" t="s">
        <v>465</v>
      </c>
      <c r="D232" s="70" t="s">
        <v>93</v>
      </c>
      <c r="E232" s="90">
        <v>48.07</v>
      </c>
      <c r="F232" s="73">
        <v>90</v>
      </c>
      <c r="G232" s="73">
        <f t="shared" ref="G232:G240" si="73">ROUND(E232*F232,2)</f>
        <v>4326.3</v>
      </c>
      <c r="H232" s="74">
        <f t="shared" ref="H232:H240" si="74">P232+J232</f>
        <v>48.07</v>
      </c>
      <c r="I232" s="73">
        <f t="shared" ref="I232:I240" si="75">ROUND(H232*F232,2)</f>
        <v>4326.3</v>
      </c>
      <c r="J232" s="181"/>
      <c r="K232" s="75">
        <f t="shared" ref="K232:K240" si="76">ROUND(J232*F232,2)</f>
        <v>0</v>
      </c>
      <c r="L232" s="76">
        <f t="shared" ref="L232:L240" si="77">E232-H232</f>
        <v>0</v>
      </c>
      <c r="M232" s="73">
        <f t="shared" ref="M232:M240" si="78">ROUND(G232-I232,2)</f>
        <v>0</v>
      </c>
      <c r="N232" s="86">
        <f t="shared" ref="N232:N241" si="79">IF(G232=0,"",I232/G232)</f>
        <v>1</v>
      </c>
      <c r="O232" s="8"/>
      <c r="P232" s="9">
        <f t="shared" si="66"/>
        <v>48.07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K232" s="10">
        <v>48.07</v>
      </c>
      <c r="AL232" s="202"/>
      <c r="AM232" s="202"/>
      <c r="AN232" s="202"/>
    </row>
    <row r="233" spans="1:40" s="10" customFormat="1" ht="39.950000000000003" customHeight="1" x14ac:dyDescent="0.25">
      <c r="A233" s="55">
        <v>1</v>
      </c>
      <c r="B233" s="55" t="s">
        <v>466</v>
      </c>
      <c r="C233" s="89" t="s">
        <v>467</v>
      </c>
      <c r="D233" s="70" t="s">
        <v>71</v>
      </c>
      <c r="E233" s="90">
        <v>80416.44</v>
      </c>
      <c r="F233" s="73">
        <v>5</v>
      </c>
      <c r="G233" s="73">
        <f t="shared" si="73"/>
        <v>402082.2</v>
      </c>
      <c r="H233" s="74">
        <f t="shared" si="74"/>
        <v>69642.23</v>
      </c>
      <c r="I233" s="73">
        <f t="shared" si="75"/>
        <v>348211.15</v>
      </c>
      <c r="J233" s="181"/>
      <c r="K233" s="75">
        <f t="shared" si="76"/>
        <v>0</v>
      </c>
      <c r="L233" s="76">
        <f t="shared" si="77"/>
        <v>10774.210000000006</v>
      </c>
      <c r="M233" s="73">
        <f t="shared" si="78"/>
        <v>53871.05</v>
      </c>
      <c r="N233" s="86">
        <f t="shared" si="79"/>
        <v>0.86601980888484997</v>
      </c>
      <c r="O233" s="8"/>
      <c r="P233" s="9">
        <f t="shared" si="66"/>
        <v>69642.23</v>
      </c>
      <c r="Q233" s="9"/>
      <c r="R233" s="9"/>
      <c r="S233" s="9"/>
      <c r="T233" s="9"/>
      <c r="U233" s="9">
        <v>1000</v>
      </c>
      <c r="V233" s="9"/>
      <c r="W233" s="9"/>
      <c r="X233" s="9">
        <v>4000</v>
      </c>
      <c r="Y233" s="9">
        <v>2000</v>
      </c>
      <c r="Z233" s="10">
        <v>6320</v>
      </c>
      <c r="AA233" s="9">
        <v>6600</v>
      </c>
      <c r="AB233" s="9">
        <v>2200</v>
      </c>
      <c r="AC233" s="9">
        <v>4400</v>
      </c>
      <c r="AD233" s="9">
        <v>7000</v>
      </c>
      <c r="AE233" s="9">
        <v>3300</v>
      </c>
      <c r="AF233" s="9"/>
      <c r="AG233" s="9"/>
      <c r="AH233" s="9"/>
      <c r="AK233" s="10">
        <v>10000</v>
      </c>
      <c r="AL233" s="202">
        <v>22022.23</v>
      </c>
      <c r="AM233" s="202">
        <v>800</v>
      </c>
      <c r="AN233" s="202"/>
    </row>
    <row r="234" spans="1:40" s="10" customFormat="1" ht="39.950000000000003" customHeight="1" x14ac:dyDescent="0.25">
      <c r="A234" s="129">
        <v>1</v>
      </c>
      <c r="B234" s="55" t="s">
        <v>468</v>
      </c>
      <c r="C234" s="89" t="s">
        <v>469</v>
      </c>
      <c r="D234" s="53" t="s">
        <v>433</v>
      </c>
      <c r="E234" s="90">
        <v>20</v>
      </c>
      <c r="F234" s="91">
        <v>172.92</v>
      </c>
      <c r="G234" s="73">
        <f t="shared" si="73"/>
        <v>3458.4</v>
      </c>
      <c r="H234" s="74">
        <f t="shared" si="74"/>
        <v>20</v>
      </c>
      <c r="I234" s="73">
        <f t="shared" si="75"/>
        <v>3458.4</v>
      </c>
      <c r="J234" s="181"/>
      <c r="K234" s="75">
        <f t="shared" si="76"/>
        <v>0</v>
      </c>
      <c r="L234" s="76">
        <f t="shared" si="77"/>
        <v>0</v>
      </c>
      <c r="M234" s="73">
        <f t="shared" si="78"/>
        <v>0</v>
      </c>
      <c r="N234" s="86">
        <f t="shared" si="79"/>
        <v>1</v>
      </c>
      <c r="O234" s="8"/>
      <c r="P234" s="9">
        <f t="shared" si="66"/>
        <v>20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K234" s="10">
        <v>20</v>
      </c>
      <c r="AL234" s="202"/>
      <c r="AM234" s="202"/>
      <c r="AN234" s="202"/>
    </row>
    <row r="235" spans="1:40" s="10" customFormat="1" ht="39.950000000000003" customHeight="1" x14ac:dyDescent="0.25">
      <c r="A235" s="53">
        <v>1</v>
      </c>
      <c r="B235" s="55" t="s">
        <v>470</v>
      </c>
      <c r="C235" s="69" t="s">
        <v>471</v>
      </c>
      <c r="D235" s="70" t="s">
        <v>433</v>
      </c>
      <c r="E235" s="90">
        <v>7</v>
      </c>
      <c r="F235" s="72">
        <v>125.04</v>
      </c>
      <c r="G235" s="73">
        <f t="shared" si="73"/>
        <v>875.28</v>
      </c>
      <c r="H235" s="74">
        <f t="shared" si="74"/>
        <v>7</v>
      </c>
      <c r="I235" s="73">
        <f t="shared" si="75"/>
        <v>875.28</v>
      </c>
      <c r="J235" s="181"/>
      <c r="K235" s="75">
        <f t="shared" si="76"/>
        <v>0</v>
      </c>
      <c r="L235" s="76">
        <f t="shared" si="77"/>
        <v>0</v>
      </c>
      <c r="M235" s="73">
        <f t="shared" si="78"/>
        <v>0</v>
      </c>
      <c r="N235" s="86">
        <f t="shared" si="79"/>
        <v>1</v>
      </c>
      <c r="O235" s="8"/>
      <c r="P235" s="9">
        <f t="shared" si="66"/>
        <v>7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K235" s="10">
        <v>7</v>
      </c>
      <c r="AL235" s="202"/>
      <c r="AM235" s="202"/>
      <c r="AN235" s="202"/>
    </row>
    <row r="236" spans="1:40" s="10" customFormat="1" ht="39.950000000000003" customHeight="1" x14ac:dyDescent="0.25">
      <c r="A236" s="55">
        <v>1</v>
      </c>
      <c r="B236" s="55" t="s">
        <v>472</v>
      </c>
      <c r="C236" s="69" t="s">
        <v>473</v>
      </c>
      <c r="D236" s="70" t="s">
        <v>433</v>
      </c>
      <c r="E236" s="90">
        <v>36</v>
      </c>
      <c r="F236" s="72">
        <v>171.76</v>
      </c>
      <c r="G236" s="73">
        <f t="shared" si="73"/>
        <v>6183.36</v>
      </c>
      <c r="H236" s="74">
        <f t="shared" si="74"/>
        <v>36</v>
      </c>
      <c r="I236" s="73">
        <f t="shared" si="75"/>
        <v>6183.36</v>
      </c>
      <c r="J236" s="181"/>
      <c r="K236" s="75">
        <f t="shared" si="76"/>
        <v>0</v>
      </c>
      <c r="L236" s="76">
        <f t="shared" si="77"/>
        <v>0</v>
      </c>
      <c r="M236" s="73">
        <f t="shared" si="78"/>
        <v>0</v>
      </c>
      <c r="N236" s="86">
        <f t="shared" si="79"/>
        <v>1</v>
      </c>
      <c r="O236" s="8"/>
      <c r="P236" s="9">
        <f t="shared" si="66"/>
        <v>36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K236" s="10">
        <v>36</v>
      </c>
      <c r="AL236" s="202"/>
      <c r="AM236" s="202"/>
      <c r="AN236" s="202"/>
    </row>
    <row r="237" spans="1:40" s="10" customFormat="1" ht="39.950000000000003" customHeight="1" x14ac:dyDescent="0.25">
      <c r="A237" s="55">
        <v>1</v>
      </c>
      <c r="B237" s="55" t="s">
        <v>474</v>
      </c>
      <c r="C237" s="69" t="s">
        <v>475</v>
      </c>
      <c r="D237" s="70" t="s">
        <v>433</v>
      </c>
      <c r="E237" s="90">
        <v>62</v>
      </c>
      <c r="F237" s="72">
        <v>109.66</v>
      </c>
      <c r="G237" s="73">
        <f t="shared" si="73"/>
        <v>6798.92</v>
      </c>
      <c r="H237" s="74">
        <f t="shared" si="74"/>
        <v>62</v>
      </c>
      <c r="I237" s="73">
        <f t="shared" si="75"/>
        <v>6798.92</v>
      </c>
      <c r="J237" s="181"/>
      <c r="K237" s="75">
        <f t="shared" si="76"/>
        <v>0</v>
      </c>
      <c r="L237" s="76">
        <f t="shared" si="77"/>
        <v>0</v>
      </c>
      <c r="M237" s="73">
        <f t="shared" si="78"/>
        <v>0</v>
      </c>
      <c r="N237" s="86">
        <f t="shared" si="79"/>
        <v>1</v>
      </c>
      <c r="O237" s="8"/>
      <c r="P237" s="9">
        <f t="shared" si="66"/>
        <v>62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K237" s="10">
        <v>62</v>
      </c>
      <c r="AL237" s="202"/>
      <c r="AM237" s="202"/>
      <c r="AN237" s="202"/>
    </row>
    <row r="238" spans="1:40" s="10" customFormat="1" ht="39.950000000000003" customHeight="1" x14ac:dyDescent="0.25">
      <c r="A238" s="55">
        <v>1</v>
      </c>
      <c r="B238" s="55" t="s">
        <v>476</v>
      </c>
      <c r="C238" s="69" t="s">
        <v>477</v>
      </c>
      <c r="D238" s="70" t="s">
        <v>433</v>
      </c>
      <c r="E238" s="90">
        <v>21</v>
      </c>
      <c r="F238" s="72">
        <v>191.13</v>
      </c>
      <c r="G238" s="73">
        <f t="shared" si="73"/>
        <v>4013.73</v>
      </c>
      <c r="H238" s="74">
        <f t="shared" si="74"/>
        <v>21</v>
      </c>
      <c r="I238" s="73">
        <f t="shared" si="75"/>
        <v>4013.73</v>
      </c>
      <c r="J238" s="181"/>
      <c r="K238" s="75">
        <f t="shared" si="76"/>
        <v>0</v>
      </c>
      <c r="L238" s="76">
        <f t="shared" si="77"/>
        <v>0</v>
      </c>
      <c r="M238" s="73">
        <f t="shared" si="78"/>
        <v>0</v>
      </c>
      <c r="N238" s="86">
        <f t="shared" si="79"/>
        <v>1</v>
      </c>
      <c r="O238" s="8"/>
      <c r="P238" s="9">
        <f t="shared" si="66"/>
        <v>21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K238" s="10">
        <v>21</v>
      </c>
      <c r="AL238" s="202"/>
      <c r="AM238" s="202"/>
      <c r="AN238" s="202"/>
    </row>
    <row r="239" spans="1:40" s="10" customFormat="1" ht="39.950000000000003" customHeight="1" x14ac:dyDescent="0.25">
      <c r="A239" s="55">
        <v>1</v>
      </c>
      <c r="B239" s="55" t="s">
        <v>478</v>
      </c>
      <c r="C239" s="69" t="s">
        <v>479</v>
      </c>
      <c r="D239" s="70" t="s">
        <v>433</v>
      </c>
      <c r="E239" s="90">
        <v>20</v>
      </c>
      <c r="F239" s="72">
        <v>113.06</v>
      </c>
      <c r="G239" s="73">
        <f t="shared" si="73"/>
        <v>2261.1999999999998</v>
      </c>
      <c r="H239" s="74">
        <f t="shared" si="74"/>
        <v>20</v>
      </c>
      <c r="I239" s="73">
        <f t="shared" si="75"/>
        <v>2261.1999999999998</v>
      </c>
      <c r="J239" s="181"/>
      <c r="K239" s="75">
        <f t="shared" si="76"/>
        <v>0</v>
      </c>
      <c r="L239" s="76">
        <f t="shared" si="77"/>
        <v>0</v>
      </c>
      <c r="M239" s="73">
        <f t="shared" si="78"/>
        <v>0</v>
      </c>
      <c r="N239" s="86">
        <f t="shared" si="79"/>
        <v>1</v>
      </c>
      <c r="O239" s="8"/>
      <c r="P239" s="9">
        <f t="shared" si="66"/>
        <v>20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K239" s="10">
        <v>20</v>
      </c>
      <c r="AL239" s="202"/>
      <c r="AM239" s="202"/>
      <c r="AN239" s="202"/>
    </row>
    <row r="240" spans="1:40" s="10" customFormat="1" ht="39.950000000000003" customHeight="1" x14ac:dyDescent="0.25">
      <c r="A240" s="55">
        <v>1</v>
      </c>
      <c r="B240" s="55" t="s">
        <v>480</v>
      </c>
      <c r="C240" s="69" t="s">
        <v>481</v>
      </c>
      <c r="D240" s="70" t="s">
        <v>433</v>
      </c>
      <c r="E240" s="90">
        <v>4</v>
      </c>
      <c r="F240" s="72">
        <v>12.24</v>
      </c>
      <c r="G240" s="73">
        <f t="shared" si="73"/>
        <v>48.96</v>
      </c>
      <c r="H240" s="74">
        <f t="shared" si="74"/>
        <v>4</v>
      </c>
      <c r="I240" s="73">
        <f t="shared" si="75"/>
        <v>48.96</v>
      </c>
      <c r="J240" s="181"/>
      <c r="K240" s="75">
        <f t="shared" si="76"/>
        <v>0</v>
      </c>
      <c r="L240" s="76">
        <f t="shared" si="77"/>
        <v>0</v>
      </c>
      <c r="M240" s="73">
        <f t="shared" si="78"/>
        <v>0</v>
      </c>
      <c r="N240" s="86">
        <f t="shared" si="79"/>
        <v>1</v>
      </c>
      <c r="O240" s="8"/>
      <c r="P240" s="9">
        <f t="shared" si="66"/>
        <v>4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K240" s="10">
        <v>4</v>
      </c>
      <c r="AL240" s="202"/>
      <c r="AM240" s="202"/>
      <c r="AN240" s="202"/>
    </row>
    <row r="241" spans="1:40" s="10" customFormat="1" ht="39.950000000000003" customHeight="1" x14ac:dyDescent="0.25">
      <c r="A241" s="274" t="s">
        <v>482</v>
      </c>
      <c r="B241" s="274"/>
      <c r="C241" s="274"/>
      <c r="D241" s="274"/>
      <c r="E241" s="274"/>
      <c r="F241" s="274"/>
      <c r="G241" s="79">
        <f>SUM(G232:G240)</f>
        <v>430048.35000000003</v>
      </c>
      <c r="H241" s="80"/>
      <c r="I241" s="79">
        <f>SUM(I232:I240)</f>
        <v>376177.30000000005</v>
      </c>
      <c r="J241" s="81"/>
      <c r="K241" s="79">
        <f>SUM(K232:K240)</f>
        <v>0</v>
      </c>
      <c r="L241" s="82"/>
      <c r="M241" s="79">
        <f>SUM(M232:M240)</f>
        <v>53871.05</v>
      </c>
      <c r="N241" s="93">
        <f t="shared" si="79"/>
        <v>0.87473257367456481</v>
      </c>
      <c r="O241" s="8"/>
      <c r="P241" s="9">
        <f t="shared" si="66"/>
        <v>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L241" s="215"/>
      <c r="AM241" s="215"/>
      <c r="AN241" s="215"/>
    </row>
    <row r="242" spans="1:40" s="10" customFormat="1" ht="39.950000000000003" customHeight="1" x14ac:dyDescent="0.25">
      <c r="A242" s="68">
        <v>2</v>
      </c>
      <c r="B242" s="68"/>
      <c r="C242" s="83" t="s">
        <v>483</v>
      </c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221"/>
      <c r="O242" s="8"/>
      <c r="P242" s="9">
        <f t="shared" si="66"/>
        <v>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L242" s="203"/>
      <c r="AM242" s="203"/>
      <c r="AN242" s="203"/>
    </row>
    <row r="243" spans="1:40" s="10" customFormat="1" ht="39.950000000000003" customHeight="1" x14ac:dyDescent="0.25">
      <c r="A243" s="68">
        <v>2</v>
      </c>
      <c r="B243" s="68" t="s">
        <v>41</v>
      </c>
      <c r="C243" s="83" t="s">
        <v>484</v>
      </c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221"/>
      <c r="O243" s="8"/>
      <c r="P243" s="9">
        <f t="shared" si="66"/>
        <v>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L243" s="203"/>
      <c r="AM243" s="203"/>
      <c r="AN243" s="203"/>
    </row>
    <row r="244" spans="1:40" s="10" customFormat="1" ht="39.950000000000003" customHeight="1" x14ac:dyDescent="0.25">
      <c r="A244" s="55">
        <v>2</v>
      </c>
      <c r="B244" s="55" t="s">
        <v>43</v>
      </c>
      <c r="C244" s="89" t="s">
        <v>87</v>
      </c>
      <c r="D244" s="53" t="s">
        <v>485</v>
      </c>
      <c r="E244" s="130">
        <v>2050</v>
      </c>
      <c r="F244" s="72">
        <v>0.47</v>
      </c>
      <c r="G244" s="73">
        <f>ROUND(E244*F244,2)</f>
        <v>963.5</v>
      </c>
      <c r="H244" s="74">
        <f t="shared" ref="H244:H260" si="80">P244+J244</f>
        <v>161</v>
      </c>
      <c r="I244" s="73">
        <f t="shared" ref="I244:I275" si="81">ROUND(H244*F244,2)</f>
        <v>75.67</v>
      </c>
      <c r="J244" s="181"/>
      <c r="K244" s="88">
        <f t="shared" ref="K244:K275" si="82">ROUND(J244*F244,2)</f>
        <v>0</v>
      </c>
      <c r="L244" s="76">
        <f t="shared" ref="L244:L260" si="83">E244-H244</f>
        <v>1889</v>
      </c>
      <c r="M244" s="73">
        <f t="shared" ref="M244:M275" si="84">ROUND(G244-I244,2)</f>
        <v>887.83</v>
      </c>
      <c r="N244" s="86">
        <f t="shared" ref="N244:N260" si="85">IF(G244=0,"",I244/G244)</f>
        <v>7.8536585365853659E-2</v>
      </c>
      <c r="O244" s="8"/>
      <c r="P244" s="9">
        <f t="shared" si="66"/>
        <v>161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L244" s="202"/>
      <c r="AM244" s="202"/>
      <c r="AN244" s="202">
        <v>161</v>
      </c>
    </row>
    <row r="245" spans="1:40" s="10" customFormat="1" ht="39.950000000000003" customHeight="1" x14ac:dyDescent="0.25">
      <c r="A245" s="55">
        <v>2</v>
      </c>
      <c r="B245" s="55" t="s">
        <v>46</v>
      </c>
      <c r="C245" s="89" t="s">
        <v>89</v>
      </c>
      <c r="D245" s="53" t="s">
        <v>90</v>
      </c>
      <c r="E245" s="130">
        <v>9</v>
      </c>
      <c r="F245" s="72">
        <v>49.46</v>
      </c>
      <c r="G245" s="73">
        <f t="shared" ref="G245:G269" si="86">ROUND(E245*F245,2)</f>
        <v>445.14</v>
      </c>
      <c r="H245" s="74">
        <f t="shared" si="80"/>
        <v>9</v>
      </c>
      <c r="I245" s="73">
        <f t="shared" si="81"/>
        <v>445.14</v>
      </c>
      <c r="J245" s="81"/>
      <c r="K245" s="75">
        <f t="shared" si="82"/>
        <v>0</v>
      </c>
      <c r="L245" s="76">
        <f t="shared" si="83"/>
        <v>0</v>
      </c>
      <c r="M245" s="73">
        <f t="shared" si="84"/>
        <v>0</v>
      </c>
      <c r="N245" s="86">
        <f t="shared" si="85"/>
        <v>1</v>
      </c>
      <c r="O245" s="8"/>
      <c r="P245" s="9">
        <f t="shared" si="66"/>
        <v>9</v>
      </c>
      <c r="Q245" s="9"/>
      <c r="R245" s="9"/>
      <c r="S245" s="9"/>
      <c r="T245" s="9"/>
      <c r="U245" s="9"/>
      <c r="V245" s="9">
        <v>9</v>
      </c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L245" s="215"/>
      <c r="AM245" s="215"/>
      <c r="AN245" s="215"/>
    </row>
    <row r="246" spans="1:40" s="10" customFormat="1" ht="39.950000000000003" customHeight="1" x14ac:dyDescent="0.25">
      <c r="A246" s="55">
        <v>2</v>
      </c>
      <c r="B246" s="55" t="s">
        <v>48</v>
      </c>
      <c r="C246" s="89" t="s">
        <v>92</v>
      </c>
      <c r="D246" s="53" t="s">
        <v>486</v>
      </c>
      <c r="E246" s="130">
        <v>701.5</v>
      </c>
      <c r="F246" s="72">
        <v>2.04</v>
      </c>
      <c r="G246" s="73">
        <f t="shared" si="86"/>
        <v>1431.06</v>
      </c>
      <c r="H246" s="74">
        <f t="shared" si="80"/>
        <v>48.3</v>
      </c>
      <c r="I246" s="87">
        <f t="shared" si="81"/>
        <v>98.53</v>
      </c>
      <c r="J246" s="181"/>
      <c r="K246" s="88">
        <f t="shared" si="82"/>
        <v>0</v>
      </c>
      <c r="L246" s="76">
        <f t="shared" si="83"/>
        <v>653.20000000000005</v>
      </c>
      <c r="M246" s="73">
        <f t="shared" si="84"/>
        <v>1332.53</v>
      </c>
      <c r="N246" s="86">
        <f t="shared" si="85"/>
        <v>6.8851061450952447E-2</v>
      </c>
      <c r="O246" s="8"/>
      <c r="P246" s="9">
        <f t="shared" si="66"/>
        <v>48.3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L246" s="202"/>
      <c r="AM246" s="202"/>
      <c r="AN246" s="202">
        <v>48.3</v>
      </c>
    </row>
    <row r="247" spans="1:40" s="10" customFormat="1" ht="39.950000000000003" customHeight="1" x14ac:dyDescent="0.25">
      <c r="A247" s="55">
        <v>2</v>
      </c>
      <c r="B247" s="55" t="s">
        <v>51</v>
      </c>
      <c r="C247" s="89" t="s">
        <v>95</v>
      </c>
      <c r="D247" s="53" t="s">
        <v>107</v>
      </c>
      <c r="E247" s="130">
        <v>701.5</v>
      </c>
      <c r="F247" s="72">
        <v>3.89</v>
      </c>
      <c r="G247" s="73">
        <f t="shared" si="86"/>
        <v>2728.84</v>
      </c>
      <c r="H247" s="74">
        <f t="shared" si="80"/>
        <v>286.23393320000002</v>
      </c>
      <c r="I247" s="87">
        <f t="shared" si="81"/>
        <v>1113.45</v>
      </c>
      <c r="J247" s="81">
        <v>286.23393320000002</v>
      </c>
      <c r="K247" s="88">
        <f t="shared" si="82"/>
        <v>1113.45</v>
      </c>
      <c r="L247" s="76">
        <f t="shared" si="83"/>
        <v>415.26606679999998</v>
      </c>
      <c r="M247" s="73">
        <f t="shared" si="84"/>
        <v>1615.39</v>
      </c>
      <c r="N247" s="86">
        <f t="shared" si="85"/>
        <v>0.40803051846205712</v>
      </c>
      <c r="O247" s="8"/>
      <c r="P247" s="9">
        <f t="shared" si="66"/>
        <v>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L247" s="215"/>
      <c r="AM247" s="215"/>
      <c r="AN247" s="202"/>
    </row>
    <row r="248" spans="1:40" s="10" customFormat="1" ht="39.950000000000003" customHeight="1" x14ac:dyDescent="0.25">
      <c r="A248" s="286">
        <v>2</v>
      </c>
      <c r="B248" s="286" t="s">
        <v>53</v>
      </c>
      <c r="C248" s="287" t="s">
        <v>98</v>
      </c>
      <c r="D248" s="288" t="s">
        <v>107</v>
      </c>
      <c r="E248" s="289">
        <v>0</v>
      </c>
      <c r="F248" s="290">
        <v>1.19</v>
      </c>
      <c r="G248" s="291">
        <f t="shared" si="86"/>
        <v>0</v>
      </c>
      <c r="H248" s="292">
        <f t="shared" si="80"/>
        <v>0</v>
      </c>
      <c r="I248" s="291">
        <f t="shared" si="81"/>
        <v>0</v>
      </c>
      <c r="J248" s="295">
        <v>-935.67</v>
      </c>
      <c r="K248" s="296">
        <f t="shared" si="82"/>
        <v>-1113.45</v>
      </c>
      <c r="L248" s="293">
        <f t="shared" si="83"/>
        <v>0</v>
      </c>
      <c r="M248" s="291">
        <f t="shared" si="84"/>
        <v>0</v>
      </c>
      <c r="N248" s="294"/>
      <c r="O248" s="8"/>
      <c r="P248" s="9">
        <f t="shared" si="66"/>
        <v>935.67</v>
      </c>
      <c r="Q248" s="9"/>
      <c r="R248" s="9"/>
      <c r="S248" s="9"/>
      <c r="T248" s="9"/>
      <c r="U248" s="9"/>
      <c r="V248" s="9">
        <v>216</v>
      </c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L248" s="202"/>
      <c r="AM248" s="202"/>
      <c r="AN248" s="202">
        <v>719.67</v>
      </c>
    </row>
    <row r="249" spans="1:40" s="10" customFormat="1" ht="39.950000000000003" customHeight="1" x14ac:dyDescent="0.25">
      <c r="A249" s="53">
        <v>2</v>
      </c>
      <c r="B249" s="53" t="s">
        <v>55</v>
      </c>
      <c r="C249" s="69" t="s">
        <v>100</v>
      </c>
      <c r="D249" s="70" t="s">
        <v>486</v>
      </c>
      <c r="E249" s="130">
        <v>701.5</v>
      </c>
      <c r="F249" s="73">
        <v>1.95</v>
      </c>
      <c r="G249" s="73">
        <f t="shared" si="86"/>
        <v>1367.93</v>
      </c>
      <c r="H249" s="74">
        <f t="shared" si="80"/>
        <v>120.3</v>
      </c>
      <c r="I249" s="73">
        <f t="shared" si="81"/>
        <v>234.59</v>
      </c>
      <c r="J249" s="181"/>
      <c r="K249" s="75">
        <f t="shared" si="82"/>
        <v>0</v>
      </c>
      <c r="L249" s="76">
        <f t="shared" si="83"/>
        <v>581.20000000000005</v>
      </c>
      <c r="M249" s="73">
        <f t="shared" si="84"/>
        <v>1133.3399999999999</v>
      </c>
      <c r="N249" s="86">
        <f t="shared" si="85"/>
        <v>0.17149269333957146</v>
      </c>
      <c r="O249" s="8"/>
      <c r="P249" s="9">
        <f t="shared" si="66"/>
        <v>120.3</v>
      </c>
      <c r="Q249" s="9"/>
      <c r="R249" s="9"/>
      <c r="S249" s="9"/>
      <c r="T249" s="9"/>
      <c r="U249" s="9"/>
      <c r="V249" s="9">
        <v>72</v>
      </c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L249" s="202"/>
      <c r="AM249" s="202"/>
      <c r="AN249" s="202">
        <v>48.3</v>
      </c>
    </row>
    <row r="250" spans="1:40" s="10" customFormat="1" ht="39.950000000000003" customHeight="1" x14ac:dyDescent="0.25">
      <c r="A250" s="53">
        <v>2</v>
      </c>
      <c r="B250" s="53" t="s">
        <v>57</v>
      </c>
      <c r="C250" s="89" t="s">
        <v>152</v>
      </c>
      <c r="D250" s="53" t="s">
        <v>487</v>
      </c>
      <c r="E250" s="130">
        <v>504</v>
      </c>
      <c r="F250" s="73">
        <v>51.18</v>
      </c>
      <c r="G250" s="73">
        <f t="shared" si="86"/>
        <v>25794.720000000001</v>
      </c>
      <c r="H250" s="74">
        <f t="shared" si="80"/>
        <v>43.56</v>
      </c>
      <c r="I250" s="73">
        <f t="shared" si="81"/>
        <v>2229.4</v>
      </c>
      <c r="J250" s="181">
        <v>43.56</v>
      </c>
      <c r="K250" s="75">
        <f t="shared" si="82"/>
        <v>2229.4</v>
      </c>
      <c r="L250" s="76">
        <f t="shared" si="83"/>
        <v>460.44</v>
      </c>
      <c r="M250" s="73">
        <f t="shared" si="84"/>
        <v>23565.32</v>
      </c>
      <c r="N250" s="86">
        <f t="shared" si="85"/>
        <v>8.6428540414472413E-2</v>
      </c>
      <c r="O250" s="8"/>
      <c r="P250" s="9">
        <f t="shared" si="66"/>
        <v>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L250" s="215"/>
      <c r="AM250" s="215"/>
      <c r="AN250" s="215"/>
    </row>
    <row r="251" spans="1:40" s="10" customFormat="1" ht="39.950000000000003" customHeight="1" x14ac:dyDescent="0.25">
      <c r="A251" s="53">
        <v>2</v>
      </c>
      <c r="B251" s="53" t="s">
        <v>59</v>
      </c>
      <c r="C251" s="89" t="s">
        <v>488</v>
      </c>
      <c r="D251" s="53" t="s">
        <v>489</v>
      </c>
      <c r="E251" s="130">
        <v>600</v>
      </c>
      <c r="F251" s="73">
        <v>5.62</v>
      </c>
      <c r="G251" s="73">
        <f t="shared" si="86"/>
        <v>3372</v>
      </c>
      <c r="H251" s="74">
        <f t="shared" si="80"/>
        <v>150</v>
      </c>
      <c r="I251" s="87">
        <f t="shared" si="81"/>
        <v>843</v>
      </c>
      <c r="J251" s="181">
        <v>150</v>
      </c>
      <c r="K251" s="88">
        <f t="shared" si="82"/>
        <v>843</v>
      </c>
      <c r="L251" s="76">
        <f t="shared" si="83"/>
        <v>450</v>
      </c>
      <c r="M251" s="73">
        <f t="shared" si="84"/>
        <v>2529</v>
      </c>
      <c r="N251" s="86">
        <f t="shared" si="85"/>
        <v>0.25</v>
      </c>
      <c r="O251" s="8"/>
      <c r="P251" s="9">
        <f t="shared" si="66"/>
        <v>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L251" s="215"/>
      <c r="AM251" s="215"/>
      <c r="AN251" s="215"/>
    </row>
    <row r="252" spans="1:40" s="10" customFormat="1" ht="39.950000000000003" customHeight="1" x14ac:dyDescent="0.25">
      <c r="A252" s="53">
        <v>2</v>
      </c>
      <c r="B252" s="53" t="s">
        <v>61</v>
      </c>
      <c r="C252" s="89" t="s">
        <v>111</v>
      </c>
      <c r="D252" s="53" t="s">
        <v>490</v>
      </c>
      <c r="E252" s="130">
        <v>115</v>
      </c>
      <c r="F252" s="73">
        <v>92.25</v>
      </c>
      <c r="G252" s="73">
        <f t="shared" si="86"/>
        <v>10608.75</v>
      </c>
      <c r="H252" s="74">
        <f t="shared" si="80"/>
        <v>93.969999999999985</v>
      </c>
      <c r="I252" s="182">
        <f t="shared" si="81"/>
        <v>8668.73</v>
      </c>
      <c r="J252" s="181">
        <v>3.05</v>
      </c>
      <c r="K252" s="88">
        <f t="shared" si="82"/>
        <v>281.36</v>
      </c>
      <c r="L252" s="76">
        <f t="shared" si="83"/>
        <v>21.030000000000015</v>
      </c>
      <c r="M252" s="73">
        <f t="shared" si="84"/>
        <v>1940.02</v>
      </c>
      <c r="N252" s="86">
        <f t="shared" si="85"/>
        <v>0.81713019912807816</v>
      </c>
      <c r="O252" s="8"/>
      <c r="P252" s="9">
        <f t="shared" si="66"/>
        <v>90.919999999999987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L252" s="202">
        <v>39.409999999999997</v>
      </c>
      <c r="AM252" s="202">
        <v>10.8</v>
      </c>
      <c r="AN252" s="202">
        <v>40.71</v>
      </c>
    </row>
    <row r="253" spans="1:40" s="10" customFormat="1" ht="39.950000000000003" hidden="1" customHeight="1" x14ac:dyDescent="0.25">
      <c r="A253" s="239">
        <v>2</v>
      </c>
      <c r="B253" s="239" t="s">
        <v>63</v>
      </c>
      <c r="C253" s="238" t="s">
        <v>491</v>
      </c>
      <c r="D253" s="239" t="s">
        <v>490</v>
      </c>
      <c r="E253" s="267">
        <v>0</v>
      </c>
      <c r="F253" s="231">
        <v>52.1</v>
      </c>
      <c r="G253" s="231">
        <f t="shared" si="86"/>
        <v>0</v>
      </c>
      <c r="H253" s="232">
        <f t="shared" si="80"/>
        <v>0</v>
      </c>
      <c r="I253" s="244">
        <f t="shared" si="81"/>
        <v>0</v>
      </c>
      <c r="J253" s="245"/>
      <c r="K253" s="246">
        <f t="shared" si="82"/>
        <v>0</v>
      </c>
      <c r="L253" s="235">
        <f t="shared" si="83"/>
        <v>0</v>
      </c>
      <c r="M253" s="231">
        <f t="shared" si="84"/>
        <v>0</v>
      </c>
      <c r="N253" s="237" t="str">
        <f t="shared" si="85"/>
        <v/>
      </c>
      <c r="O253" s="8"/>
      <c r="P253" s="9">
        <f t="shared" si="66"/>
        <v>0</v>
      </c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L253" s="215"/>
      <c r="AM253" s="215"/>
      <c r="AN253" s="215"/>
    </row>
    <row r="254" spans="1:40" s="10" customFormat="1" ht="39.950000000000003" customHeight="1" x14ac:dyDescent="0.25">
      <c r="A254" s="53">
        <v>2</v>
      </c>
      <c r="B254" s="53" t="s">
        <v>492</v>
      </c>
      <c r="C254" s="89" t="s">
        <v>115</v>
      </c>
      <c r="D254" s="53" t="s">
        <v>490</v>
      </c>
      <c r="E254" s="130">
        <v>35</v>
      </c>
      <c r="F254" s="73">
        <v>231.58</v>
      </c>
      <c r="G254" s="73">
        <f t="shared" si="86"/>
        <v>8105.3</v>
      </c>
      <c r="H254" s="74">
        <f t="shared" si="80"/>
        <v>35</v>
      </c>
      <c r="I254" s="182">
        <f t="shared" si="81"/>
        <v>8105.3</v>
      </c>
      <c r="J254" s="181"/>
      <c r="K254" s="88">
        <f t="shared" si="82"/>
        <v>0</v>
      </c>
      <c r="L254" s="76">
        <f t="shared" si="83"/>
        <v>0</v>
      </c>
      <c r="M254" s="73">
        <f t="shared" si="84"/>
        <v>0</v>
      </c>
      <c r="N254" s="86">
        <f t="shared" si="85"/>
        <v>1</v>
      </c>
      <c r="O254" s="8"/>
      <c r="P254" s="9">
        <f t="shared" si="66"/>
        <v>35</v>
      </c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J254" s="10">
        <v>35</v>
      </c>
      <c r="AL254" s="202"/>
      <c r="AM254" s="202"/>
      <c r="AN254" s="202"/>
    </row>
    <row r="255" spans="1:40" s="10" customFormat="1" ht="39.950000000000003" customHeight="1" x14ac:dyDescent="0.25">
      <c r="A255" s="53">
        <v>2</v>
      </c>
      <c r="B255" s="53" t="s">
        <v>493</v>
      </c>
      <c r="C255" s="89" t="s">
        <v>117</v>
      </c>
      <c r="D255" s="53" t="s">
        <v>494</v>
      </c>
      <c r="E255" s="130">
        <v>3000</v>
      </c>
      <c r="F255" s="73">
        <v>0.8</v>
      </c>
      <c r="G255" s="73">
        <f t="shared" si="86"/>
        <v>2400</v>
      </c>
      <c r="H255" s="74">
        <f t="shared" si="80"/>
        <v>1400.19</v>
      </c>
      <c r="I255" s="182">
        <f t="shared" si="81"/>
        <v>1120.1500000000001</v>
      </c>
      <c r="J255" s="181">
        <v>45.45</v>
      </c>
      <c r="K255" s="88">
        <f t="shared" si="82"/>
        <v>36.36</v>
      </c>
      <c r="L255" s="76">
        <f t="shared" si="83"/>
        <v>1599.81</v>
      </c>
      <c r="M255" s="73">
        <f t="shared" si="84"/>
        <v>1279.8499999999999</v>
      </c>
      <c r="N255" s="86">
        <f t="shared" si="85"/>
        <v>0.46672916666666669</v>
      </c>
      <c r="O255" s="8"/>
      <c r="P255" s="9">
        <f t="shared" si="66"/>
        <v>1354.74</v>
      </c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L255" s="202">
        <v>587.21</v>
      </c>
      <c r="AM255" s="202">
        <v>160.91</v>
      </c>
      <c r="AN255" s="202">
        <v>606.62</v>
      </c>
    </row>
    <row r="256" spans="1:40" s="10" customFormat="1" ht="39.950000000000003" customHeight="1" x14ac:dyDescent="0.25">
      <c r="A256" s="53">
        <v>2</v>
      </c>
      <c r="B256" s="53" t="s">
        <v>495</v>
      </c>
      <c r="C256" s="69" t="s">
        <v>100</v>
      </c>
      <c r="D256" s="70" t="s">
        <v>486</v>
      </c>
      <c r="E256" s="130">
        <v>150</v>
      </c>
      <c r="F256" s="73">
        <v>1.95</v>
      </c>
      <c r="G256" s="73">
        <f t="shared" si="86"/>
        <v>292.5</v>
      </c>
      <c r="H256" s="74">
        <f t="shared" si="80"/>
        <v>93.969999999999985</v>
      </c>
      <c r="I256" s="182">
        <f t="shared" si="81"/>
        <v>183.24</v>
      </c>
      <c r="J256" s="181">
        <v>3.05</v>
      </c>
      <c r="K256" s="88">
        <f t="shared" si="82"/>
        <v>5.95</v>
      </c>
      <c r="L256" s="76">
        <f t="shared" si="83"/>
        <v>56.030000000000015</v>
      </c>
      <c r="M256" s="73">
        <f t="shared" si="84"/>
        <v>109.26</v>
      </c>
      <c r="N256" s="86">
        <f t="shared" si="85"/>
        <v>0.62646153846153851</v>
      </c>
      <c r="O256" s="8"/>
      <c r="P256" s="9">
        <f t="shared" si="66"/>
        <v>90.919999999999987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L256" s="202">
        <v>39.409999999999997</v>
      </c>
      <c r="AM256" s="202">
        <v>10.8</v>
      </c>
      <c r="AN256" s="202">
        <v>40.71</v>
      </c>
    </row>
    <row r="257" spans="1:40" s="10" customFormat="1" ht="39.950000000000003" customHeight="1" x14ac:dyDescent="0.25">
      <c r="A257" s="53">
        <v>2</v>
      </c>
      <c r="B257" s="53" t="s">
        <v>496</v>
      </c>
      <c r="C257" s="89" t="s">
        <v>195</v>
      </c>
      <c r="D257" s="53" t="s">
        <v>497</v>
      </c>
      <c r="E257" s="130">
        <v>649.75</v>
      </c>
      <c r="F257" s="73">
        <v>5.26</v>
      </c>
      <c r="G257" s="73">
        <f t="shared" si="86"/>
        <v>3417.69</v>
      </c>
      <c r="H257" s="74">
        <f t="shared" si="80"/>
        <v>301.54000000000002</v>
      </c>
      <c r="I257" s="182">
        <f t="shared" si="81"/>
        <v>1586.1</v>
      </c>
      <c r="J257" s="181">
        <v>11.2</v>
      </c>
      <c r="K257" s="88">
        <f t="shared" si="82"/>
        <v>58.91</v>
      </c>
      <c r="L257" s="76">
        <f t="shared" si="83"/>
        <v>348.21</v>
      </c>
      <c r="M257" s="73">
        <f t="shared" si="84"/>
        <v>1831.59</v>
      </c>
      <c r="N257" s="86">
        <f t="shared" si="85"/>
        <v>0.46408539100971707</v>
      </c>
      <c r="O257" s="8"/>
      <c r="P257" s="9">
        <f t="shared" si="66"/>
        <v>290.34000000000003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L257" s="202">
        <v>160.33000000000001</v>
      </c>
      <c r="AM257" s="202">
        <v>20.02</v>
      </c>
      <c r="AN257" s="202">
        <v>109.99</v>
      </c>
    </row>
    <row r="258" spans="1:40" s="10" customFormat="1" ht="39.950000000000003" customHeight="1" x14ac:dyDescent="0.25">
      <c r="A258" s="53">
        <v>2</v>
      </c>
      <c r="B258" s="53" t="s">
        <v>498</v>
      </c>
      <c r="C258" s="89" t="s">
        <v>197</v>
      </c>
      <c r="D258" s="53" t="s">
        <v>499</v>
      </c>
      <c r="E258" s="130">
        <v>12995</v>
      </c>
      <c r="F258" s="73">
        <v>0.15</v>
      </c>
      <c r="G258" s="73">
        <f t="shared" si="86"/>
        <v>1949.25</v>
      </c>
      <c r="H258" s="74">
        <f t="shared" si="80"/>
        <v>4492.95</v>
      </c>
      <c r="I258" s="182">
        <f t="shared" si="81"/>
        <v>673.94</v>
      </c>
      <c r="J258" s="181">
        <v>166.88</v>
      </c>
      <c r="K258" s="88">
        <f t="shared" si="82"/>
        <v>25.03</v>
      </c>
      <c r="L258" s="76">
        <f t="shared" si="83"/>
        <v>8502.0499999999993</v>
      </c>
      <c r="M258" s="73">
        <f t="shared" si="84"/>
        <v>1275.31</v>
      </c>
      <c r="N258" s="86">
        <f t="shared" si="85"/>
        <v>0.34574323457740158</v>
      </c>
      <c r="O258" s="8"/>
      <c r="P258" s="9">
        <f t="shared" si="66"/>
        <v>4326.07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L258" s="202">
        <v>2388.92</v>
      </c>
      <c r="AM258" s="202">
        <v>298.3</v>
      </c>
      <c r="AN258" s="202">
        <v>1638.85</v>
      </c>
    </row>
    <row r="259" spans="1:40" s="10" customFormat="1" ht="39.950000000000003" customHeight="1" x14ac:dyDescent="0.25">
      <c r="A259" s="53">
        <v>2</v>
      </c>
      <c r="B259" s="53" t="s">
        <v>500</v>
      </c>
      <c r="C259" s="89" t="s">
        <v>200</v>
      </c>
      <c r="D259" s="53" t="s">
        <v>487</v>
      </c>
      <c r="E259" s="130">
        <v>6294.22</v>
      </c>
      <c r="F259" s="73">
        <v>10.64</v>
      </c>
      <c r="G259" s="73">
        <f t="shared" si="86"/>
        <v>66970.5</v>
      </c>
      <c r="H259" s="74">
        <f t="shared" si="80"/>
        <v>3512.98</v>
      </c>
      <c r="I259" s="73">
        <f t="shared" si="81"/>
        <v>37378.11</v>
      </c>
      <c r="J259" s="181"/>
      <c r="K259" s="75">
        <f t="shared" si="82"/>
        <v>0</v>
      </c>
      <c r="L259" s="76">
        <f t="shared" si="83"/>
        <v>2781.2400000000002</v>
      </c>
      <c r="M259" s="73">
        <f t="shared" si="84"/>
        <v>29592.39</v>
      </c>
      <c r="N259" s="86">
        <f t="shared" si="85"/>
        <v>0.55812798172329614</v>
      </c>
      <c r="O259" s="8"/>
      <c r="P259" s="9">
        <f t="shared" si="66"/>
        <v>3512.98</v>
      </c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416.42</v>
      </c>
      <c r="AI259" s="10">
        <v>472.65</v>
      </c>
      <c r="AJ259" s="10">
        <v>547.05999999999995</v>
      </c>
      <c r="AL259" s="202">
        <v>1408.25</v>
      </c>
      <c r="AM259" s="202">
        <v>103.77</v>
      </c>
      <c r="AN259" s="202">
        <v>564.83000000000004</v>
      </c>
    </row>
    <row r="260" spans="1:40" s="10" customFormat="1" ht="39.950000000000003" customHeight="1" x14ac:dyDescent="0.25">
      <c r="A260" s="53">
        <v>2</v>
      </c>
      <c r="B260" s="53" t="s">
        <v>501</v>
      </c>
      <c r="C260" s="89" t="s">
        <v>202</v>
      </c>
      <c r="D260" s="53" t="s">
        <v>502</v>
      </c>
      <c r="E260" s="130">
        <v>93783.88</v>
      </c>
      <c r="F260" s="73">
        <v>0.27</v>
      </c>
      <c r="G260" s="73">
        <f t="shared" si="86"/>
        <v>25321.65</v>
      </c>
      <c r="H260" s="74">
        <f t="shared" si="80"/>
        <v>44192.22</v>
      </c>
      <c r="I260" s="73">
        <f t="shared" si="81"/>
        <v>11931.9</v>
      </c>
      <c r="J260" s="181"/>
      <c r="K260" s="75">
        <f t="shared" si="82"/>
        <v>0</v>
      </c>
      <c r="L260" s="76">
        <f t="shared" si="83"/>
        <v>49591.66</v>
      </c>
      <c r="M260" s="73">
        <f t="shared" si="84"/>
        <v>13389.75</v>
      </c>
      <c r="N260" s="86">
        <f t="shared" si="85"/>
        <v>0.471213368797057</v>
      </c>
      <c r="O260" s="8"/>
      <c r="P260" s="9">
        <f t="shared" si="66"/>
        <v>44192.22</v>
      </c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6204.66</v>
      </c>
      <c r="AI260" s="10">
        <v>7042.49</v>
      </c>
      <c r="AL260" s="202">
        <v>20982.93</v>
      </c>
      <c r="AM260" s="202">
        <v>1546.17</v>
      </c>
      <c r="AN260" s="202">
        <v>8415.9699999999993</v>
      </c>
    </row>
    <row r="261" spans="1:40" s="10" customFormat="1" ht="39.950000000000003" customHeight="1" x14ac:dyDescent="0.25">
      <c r="A261" s="131">
        <v>2</v>
      </c>
      <c r="B261" s="190" t="s">
        <v>67</v>
      </c>
      <c r="C261" s="191" t="s">
        <v>503</v>
      </c>
      <c r="D261" s="192"/>
      <c r="E261" s="192"/>
      <c r="F261" s="192"/>
      <c r="G261" s="192"/>
      <c r="H261" s="192"/>
      <c r="I261" s="192">
        <f t="shared" si="81"/>
        <v>0</v>
      </c>
      <c r="J261" s="192"/>
      <c r="K261" s="192">
        <f t="shared" si="82"/>
        <v>0</v>
      </c>
      <c r="L261" s="192"/>
      <c r="M261" s="192">
        <f t="shared" si="84"/>
        <v>0</v>
      </c>
      <c r="N261" s="225"/>
      <c r="O261" s="8"/>
      <c r="P261" s="9">
        <f t="shared" si="66"/>
        <v>0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L261" s="218"/>
      <c r="AM261" s="218"/>
      <c r="AN261" s="218"/>
    </row>
    <row r="262" spans="1:40" s="10" customFormat="1" ht="39.950000000000003" customHeight="1" x14ac:dyDescent="0.25">
      <c r="A262" s="55">
        <v>2</v>
      </c>
      <c r="B262" s="55" t="s">
        <v>69</v>
      </c>
      <c r="C262" s="89" t="s">
        <v>504</v>
      </c>
      <c r="D262" s="53" t="s">
        <v>485</v>
      </c>
      <c r="E262" s="130">
        <v>1079.3699999999999</v>
      </c>
      <c r="F262" s="73">
        <v>525.46</v>
      </c>
      <c r="G262" s="73">
        <f t="shared" si="86"/>
        <v>567165.76</v>
      </c>
      <c r="H262" s="74">
        <f t="shared" ref="H262:H269" si="87">P262+J262</f>
        <v>875.88</v>
      </c>
      <c r="I262" s="182">
        <f t="shared" si="81"/>
        <v>460239.9</v>
      </c>
      <c r="J262" s="181">
        <v>108.88</v>
      </c>
      <c r="K262" s="88">
        <f t="shared" si="82"/>
        <v>57212.08</v>
      </c>
      <c r="L262" s="76">
        <f t="shared" ref="L262:L269" si="88">E262-H262</f>
        <v>203.4899999999999</v>
      </c>
      <c r="M262" s="73">
        <f t="shared" si="84"/>
        <v>106925.86</v>
      </c>
      <c r="N262" s="86">
        <f t="shared" ref="N262:N269" si="89">IF(G262=0,"",I262/G262)</f>
        <v>0.81147335128270093</v>
      </c>
      <c r="O262" s="8"/>
      <c r="P262" s="9">
        <f t="shared" si="66"/>
        <v>767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L262" s="202">
        <v>225.83</v>
      </c>
      <c r="AM262" s="202">
        <v>413.31</v>
      </c>
      <c r="AN262" s="202">
        <v>127.86</v>
      </c>
    </row>
    <row r="263" spans="1:40" s="10" customFormat="1" ht="39.950000000000003" customHeight="1" x14ac:dyDescent="0.25">
      <c r="A263" s="55">
        <v>2</v>
      </c>
      <c r="B263" s="55" t="s">
        <v>72</v>
      </c>
      <c r="C263" s="89" t="s">
        <v>505</v>
      </c>
      <c r="D263" s="53" t="s">
        <v>485</v>
      </c>
      <c r="E263" s="130">
        <v>99.79</v>
      </c>
      <c r="F263" s="73">
        <v>490</v>
      </c>
      <c r="G263" s="73">
        <f t="shared" si="86"/>
        <v>48897.1</v>
      </c>
      <c r="H263" s="74">
        <f t="shared" si="87"/>
        <v>98.055000000000007</v>
      </c>
      <c r="I263" s="182">
        <f t="shared" si="81"/>
        <v>48046.95</v>
      </c>
      <c r="J263" s="181">
        <v>15.47</v>
      </c>
      <c r="K263" s="88">
        <f t="shared" si="82"/>
        <v>7580.3</v>
      </c>
      <c r="L263" s="76">
        <f t="shared" si="88"/>
        <v>1.7349999999999994</v>
      </c>
      <c r="M263" s="73">
        <f t="shared" si="84"/>
        <v>850.15</v>
      </c>
      <c r="N263" s="86">
        <f t="shared" si="89"/>
        <v>0.98261348832548345</v>
      </c>
      <c r="O263" s="8"/>
      <c r="P263" s="9">
        <f t="shared" si="66"/>
        <v>82.585000000000008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L263" s="215"/>
      <c r="AM263" s="202">
        <v>49.895000000000003</v>
      </c>
      <c r="AN263" s="202">
        <v>32.69</v>
      </c>
    </row>
    <row r="264" spans="1:40" s="10" customFormat="1" ht="54.75" customHeight="1" x14ac:dyDescent="0.25">
      <c r="A264" s="55">
        <v>2</v>
      </c>
      <c r="B264" s="55" t="s">
        <v>74</v>
      </c>
      <c r="C264" s="89" t="s">
        <v>157</v>
      </c>
      <c r="D264" s="53" t="s">
        <v>490</v>
      </c>
      <c r="E264" s="130">
        <v>173.63</v>
      </c>
      <c r="F264" s="73">
        <v>36.93</v>
      </c>
      <c r="G264" s="73">
        <f t="shared" si="86"/>
        <v>6412.16</v>
      </c>
      <c r="H264" s="74">
        <f t="shared" si="87"/>
        <v>141.13</v>
      </c>
      <c r="I264" s="182">
        <f t="shared" si="81"/>
        <v>5211.93</v>
      </c>
      <c r="J264" s="181">
        <v>11.13</v>
      </c>
      <c r="K264" s="88">
        <f t="shared" si="82"/>
        <v>411.03</v>
      </c>
      <c r="L264" s="76">
        <f t="shared" si="88"/>
        <v>32.5</v>
      </c>
      <c r="M264" s="73">
        <f t="shared" si="84"/>
        <v>1200.23</v>
      </c>
      <c r="N264" s="86">
        <f t="shared" si="89"/>
        <v>0.81281970506038537</v>
      </c>
      <c r="O264" s="8"/>
      <c r="P264" s="9">
        <f t="shared" si="66"/>
        <v>130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L264" s="215"/>
      <c r="AM264" s="202">
        <v>55.18</v>
      </c>
      <c r="AN264" s="202">
        <v>74.819999999999993</v>
      </c>
    </row>
    <row r="265" spans="1:40" s="10" customFormat="1" ht="61.5" customHeight="1" x14ac:dyDescent="0.25">
      <c r="A265" s="55">
        <v>2</v>
      </c>
      <c r="B265" s="55" t="s">
        <v>76</v>
      </c>
      <c r="C265" s="89" t="s">
        <v>506</v>
      </c>
      <c r="D265" s="53" t="s">
        <v>490</v>
      </c>
      <c r="E265" s="130">
        <v>14.46</v>
      </c>
      <c r="F265" s="73">
        <v>314.29000000000002</v>
      </c>
      <c r="G265" s="73">
        <f t="shared" si="86"/>
        <v>4544.63</v>
      </c>
      <c r="H265" s="74">
        <f t="shared" si="87"/>
        <v>9.98</v>
      </c>
      <c r="I265" s="182">
        <f t="shared" si="81"/>
        <v>3136.61</v>
      </c>
      <c r="J265" s="181">
        <v>0.79</v>
      </c>
      <c r="K265" s="88">
        <f t="shared" si="82"/>
        <v>248.29</v>
      </c>
      <c r="L265" s="76">
        <f t="shared" si="88"/>
        <v>4.4800000000000004</v>
      </c>
      <c r="M265" s="73">
        <f t="shared" si="84"/>
        <v>1408.02</v>
      </c>
      <c r="N265" s="86">
        <f t="shared" si="89"/>
        <v>0.69017939854289567</v>
      </c>
      <c r="O265" s="8"/>
      <c r="P265" s="9">
        <f t="shared" si="66"/>
        <v>9.19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L265" s="215"/>
      <c r="AM265" s="202">
        <v>3.9</v>
      </c>
      <c r="AN265" s="202">
        <v>5.29</v>
      </c>
    </row>
    <row r="266" spans="1:40" s="10" customFormat="1" ht="77.25" customHeight="1" x14ac:dyDescent="0.25">
      <c r="A266" s="55">
        <v>2</v>
      </c>
      <c r="B266" s="55" t="s">
        <v>79</v>
      </c>
      <c r="C266" s="89" t="s">
        <v>507</v>
      </c>
      <c r="D266" s="53" t="s">
        <v>490</v>
      </c>
      <c r="E266" s="130">
        <v>1692.44</v>
      </c>
      <c r="F266" s="73">
        <v>10</v>
      </c>
      <c r="G266" s="73">
        <f t="shared" si="86"/>
        <v>16924.400000000001</v>
      </c>
      <c r="H266" s="74">
        <f t="shared" si="87"/>
        <v>1292.98</v>
      </c>
      <c r="I266" s="182">
        <f t="shared" si="81"/>
        <v>12929.8</v>
      </c>
      <c r="J266" s="181">
        <v>156.97</v>
      </c>
      <c r="K266" s="88">
        <f t="shared" si="82"/>
        <v>1569.7</v>
      </c>
      <c r="L266" s="76">
        <f t="shared" si="88"/>
        <v>399.46000000000004</v>
      </c>
      <c r="M266" s="73">
        <f t="shared" si="84"/>
        <v>3994.6</v>
      </c>
      <c r="N266" s="86">
        <f t="shared" si="89"/>
        <v>0.76397390749450489</v>
      </c>
      <c r="O266" s="8"/>
      <c r="P266" s="9">
        <f t="shared" si="66"/>
        <v>1136.01</v>
      </c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L266" s="215"/>
      <c r="AM266" s="202">
        <v>215.03</v>
      </c>
      <c r="AN266" s="202">
        <v>920.98</v>
      </c>
    </row>
    <row r="267" spans="1:40" s="10" customFormat="1" ht="39.950000000000003" customHeight="1" x14ac:dyDescent="0.25">
      <c r="A267" s="55">
        <v>2</v>
      </c>
      <c r="B267" s="55" t="s">
        <v>81</v>
      </c>
      <c r="C267" s="89" t="s">
        <v>508</v>
      </c>
      <c r="D267" s="53" t="s">
        <v>107</v>
      </c>
      <c r="E267" s="130">
        <v>16924.39</v>
      </c>
      <c r="F267" s="73">
        <v>1.39</v>
      </c>
      <c r="G267" s="73">
        <f t="shared" si="86"/>
        <v>23524.9</v>
      </c>
      <c r="H267" s="74">
        <f t="shared" si="87"/>
        <v>0</v>
      </c>
      <c r="I267" s="182">
        <f t="shared" si="81"/>
        <v>0</v>
      </c>
      <c r="J267" s="269">
        <v>-2150.33</v>
      </c>
      <c r="K267" s="270">
        <f t="shared" si="82"/>
        <v>-2988.96</v>
      </c>
      <c r="L267" s="76">
        <f t="shared" si="88"/>
        <v>16924.39</v>
      </c>
      <c r="M267" s="73">
        <f t="shared" si="84"/>
        <v>23524.9</v>
      </c>
      <c r="N267" s="86">
        <f t="shared" si="89"/>
        <v>0</v>
      </c>
      <c r="O267" s="8"/>
      <c r="P267" s="9">
        <f t="shared" si="66"/>
        <v>2150.33</v>
      </c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L267" s="215"/>
      <c r="AM267" s="202">
        <v>2150.33</v>
      </c>
      <c r="AN267" s="202"/>
    </row>
    <row r="268" spans="1:40" s="10" customFormat="1" ht="39.950000000000003" customHeight="1" x14ac:dyDescent="0.25">
      <c r="A268" s="55">
        <v>2</v>
      </c>
      <c r="B268" s="55" t="s">
        <v>509</v>
      </c>
      <c r="C268" s="89" t="s">
        <v>510</v>
      </c>
      <c r="D268" s="53" t="s">
        <v>486</v>
      </c>
      <c r="E268" s="130">
        <v>1898.97</v>
      </c>
      <c r="F268" s="73">
        <v>23.44</v>
      </c>
      <c r="G268" s="73">
        <f t="shared" si="86"/>
        <v>44511.86</v>
      </c>
      <c r="H268" s="74">
        <f t="shared" si="87"/>
        <v>1405.6299999999999</v>
      </c>
      <c r="I268" s="182">
        <f t="shared" si="81"/>
        <v>32947.97</v>
      </c>
      <c r="J268" s="185">
        <v>168.3</v>
      </c>
      <c r="K268" s="183">
        <f t="shared" si="82"/>
        <v>3944.95</v>
      </c>
      <c r="L268" s="76">
        <f t="shared" si="88"/>
        <v>493.34000000000015</v>
      </c>
      <c r="M268" s="73">
        <f t="shared" si="84"/>
        <v>11563.89</v>
      </c>
      <c r="N268" s="86">
        <f t="shared" si="89"/>
        <v>0.74020654270569686</v>
      </c>
      <c r="O268" s="8"/>
      <c r="P268" s="9">
        <f t="shared" si="66"/>
        <v>1237.33</v>
      </c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L268" s="209"/>
      <c r="AM268" s="209">
        <v>559.33000000000004</v>
      </c>
      <c r="AN268" s="209">
        <v>678</v>
      </c>
    </row>
    <row r="269" spans="1:40" s="10" customFormat="1" ht="39.950000000000003" customHeight="1" x14ac:dyDescent="0.25">
      <c r="A269" s="55">
        <v>2</v>
      </c>
      <c r="B269" s="55" t="s">
        <v>511</v>
      </c>
      <c r="C269" s="89" t="s">
        <v>512</v>
      </c>
      <c r="D269" s="53" t="s">
        <v>490</v>
      </c>
      <c r="E269" s="130">
        <v>1361.93</v>
      </c>
      <c r="F269" s="73">
        <v>4.6100000000000003</v>
      </c>
      <c r="G269" s="73">
        <f t="shared" si="86"/>
        <v>6278.5</v>
      </c>
      <c r="H269" s="74">
        <f t="shared" si="87"/>
        <v>1292.98</v>
      </c>
      <c r="I269" s="87">
        <f t="shared" si="81"/>
        <v>5960.64</v>
      </c>
      <c r="J269" s="181">
        <v>535.91</v>
      </c>
      <c r="K269" s="88">
        <f t="shared" si="82"/>
        <v>2470.5500000000002</v>
      </c>
      <c r="L269" s="76">
        <f t="shared" si="88"/>
        <v>68.950000000000045</v>
      </c>
      <c r="M269" s="73">
        <f t="shared" si="84"/>
        <v>317.86</v>
      </c>
      <c r="N269" s="86">
        <f t="shared" si="89"/>
        <v>0.94937325794377647</v>
      </c>
      <c r="O269" s="8"/>
      <c r="P269" s="9">
        <f t="shared" si="66"/>
        <v>757.07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L269" s="215"/>
      <c r="AM269" s="202">
        <v>757.07</v>
      </c>
      <c r="AN269" s="202"/>
    </row>
    <row r="270" spans="1:40" s="10" customFormat="1" ht="39.950000000000003" customHeight="1" x14ac:dyDescent="0.25">
      <c r="A270" s="68"/>
      <c r="B270" s="68"/>
      <c r="C270" s="83" t="s">
        <v>513</v>
      </c>
      <c r="D270" s="84"/>
      <c r="E270" s="84"/>
      <c r="F270" s="84"/>
      <c r="G270" s="84"/>
      <c r="H270" s="84"/>
      <c r="I270" s="84">
        <f t="shared" si="81"/>
        <v>0</v>
      </c>
      <c r="J270" s="84"/>
      <c r="K270" s="84">
        <f t="shared" si="82"/>
        <v>0</v>
      </c>
      <c r="L270" s="84"/>
      <c r="M270" s="84">
        <f t="shared" si="84"/>
        <v>0</v>
      </c>
      <c r="N270" s="221"/>
      <c r="O270" s="8"/>
      <c r="P270" s="9">
        <f t="shared" si="66"/>
        <v>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L270" s="203"/>
      <c r="AM270" s="203"/>
      <c r="AN270" s="203"/>
    </row>
    <row r="271" spans="1:40" s="10" customFormat="1" ht="39.950000000000003" customHeight="1" x14ac:dyDescent="0.25">
      <c r="A271" s="55" t="s">
        <v>514</v>
      </c>
      <c r="B271" s="55" t="s">
        <v>515</v>
      </c>
      <c r="C271" s="69" t="s">
        <v>516</v>
      </c>
      <c r="D271" s="70" t="s">
        <v>486</v>
      </c>
      <c r="E271" s="130">
        <v>159.62837088660001</v>
      </c>
      <c r="F271" s="72">
        <v>745.38</v>
      </c>
      <c r="G271" s="73">
        <f>ROUND(E271*F271,2)</f>
        <v>118983.8</v>
      </c>
      <c r="H271" s="74">
        <f t="shared" ref="H271:H277" si="90">P271+J271</f>
        <v>119.9</v>
      </c>
      <c r="I271" s="182">
        <f t="shared" si="81"/>
        <v>89371.06</v>
      </c>
      <c r="J271" s="181">
        <v>40.9</v>
      </c>
      <c r="K271" s="88">
        <f t="shared" si="82"/>
        <v>30486.04</v>
      </c>
      <c r="L271" s="76">
        <f t="shared" ref="L271:L277" si="91">E271-H271</f>
        <v>39.728370886600004</v>
      </c>
      <c r="M271" s="73">
        <f t="shared" si="84"/>
        <v>29612.74</v>
      </c>
      <c r="N271" s="86">
        <f t="shared" ref="N271:N277" si="92">IF(G271=0,"",I271/G271)</f>
        <v>0.75111956417596337</v>
      </c>
      <c r="O271" s="8"/>
      <c r="P271" s="9">
        <f t="shared" si="66"/>
        <v>79</v>
      </c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L271" s="215"/>
      <c r="AM271" s="202">
        <v>38.78</v>
      </c>
      <c r="AN271" s="202">
        <v>40.22</v>
      </c>
    </row>
    <row r="272" spans="1:40" s="10" customFormat="1" ht="39.950000000000003" customHeight="1" x14ac:dyDescent="0.25">
      <c r="A272" s="55" t="s">
        <v>514</v>
      </c>
      <c r="B272" s="55" t="s">
        <v>517</v>
      </c>
      <c r="C272" s="69" t="s">
        <v>518</v>
      </c>
      <c r="D272" s="70" t="s">
        <v>486</v>
      </c>
      <c r="E272" s="130">
        <v>80</v>
      </c>
      <c r="F272" s="72">
        <v>1898.91</v>
      </c>
      <c r="G272" s="73">
        <f t="shared" ref="G272:G300" si="93">ROUND(E272*F272,2)</f>
        <v>151912.79999999999</v>
      </c>
      <c r="H272" s="74">
        <f t="shared" si="90"/>
        <v>11.21</v>
      </c>
      <c r="I272" s="182">
        <f t="shared" si="81"/>
        <v>21286.78</v>
      </c>
      <c r="J272" s="181"/>
      <c r="K272" s="88">
        <f t="shared" si="82"/>
        <v>0</v>
      </c>
      <c r="L272" s="76">
        <f t="shared" si="91"/>
        <v>68.789999999999992</v>
      </c>
      <c r="M272" s="73">
        <f t="shared" si="84"/>
        <v>130626.02</v>
      </c>
      <c r="N272" s="86">
        <f t="shared" si="92"/>
        <v>0.14012499275900386</v>
      </c>
      <c r="O272" s="8"/>
      <c r="P272" s="9">
        <f t="shared" ref="P272:P351" si="94">SUM(Q272:AX272)</f>
        <v>11.21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L272" s="215"/>
      <c r="AM272" s="202"/>
      <c r="AN272" s="202">
        <v>11.21</v>
      </c>
    </row>
    <row r="273" spans="1:40" s="10" customFormat="1" ht="39.950000000000003" customHeight="1" x14ac:dyDescent="0.25">
      <c r="A273" s="55" t="s">
        <v>514</v>
      </c>
      <c r="B273" s="55" t="s">
        <v>519</v>
      </c>
      <c r="C273" s="69" t="s">
        <v>520</v>
      </c>
      <c r="D273" s="70" t="s">
        <v>486</v>
      </c>
      <c r="E273" s="130">
        <v>69</v>
      </c>
      <c r="F273" s="72">
        <v>2070.34</v>
      </c>
      <c r="G273" s="73">
        <f t="shared" si="93"/>
        <v>142853.46</v>
      </c>
      <c r="H273" s="74">
        <f t="shared" si="90"/>
        <v>69</v>
      </c>
      <c r="I273" s="182">
        <f t="shared" si="81"/>
        <v>142853.46</v>
      </c>
      <c r="J273" s="181"/>
      <c r="K273" s="88">
        <f t="shared" si="82"/>
        <v>0</v>
      </c>
      <c r="L273" s="76">
        <f t="shared" si="91"/>
        <v>0</v>
      </c>
      <c r="M273" s="73">
        <f t="shared" si="84"/>
        <v>0</v>
      </c>
      <c r="N273" s="86">
        <f t="shared" si="92"/>
        <v>1</v>
      </c>
      <c r="O273" s="8"/>
      <c r="P273" s="9">
        <f t="shared" si="94"/>
        <v>69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L273" s="215"/>
      <c r="AM273" s="202">
        <v>52.58</v>
      </c>
      <c r="AN273" s="202">
        <v>16.420000000000002</v>
      </c>
    </row>
    <row r="274" spans="1:40" s="10" customFormat="1" ht="39.950000000000003" customHeight="1" x14ac:dyDescent="0.25">
      <c r="A274" s="55" t="s">
        <v>514</v>
      </c>
      <c r="B274" s="55" t="s">
        <v>521</v>
      </c>
      <c r="C274" s="69" t="s">
        <v>522</v>
      </c>
      <c r="D274" s="70" t="s">
        <v>486</v>
      </c>
      <c r="E274" s="130">
        <v>69</v>
      </c>
      <c r="F274" s="72">
        <v>4391.67</v>
      </c>
      <c r="G274" s="73">
        <f t="shared" si="93"/>
        <v>303025.23</v>
      </c>
      <c r="H274" s="74">
        <f t="shared" si="90"/>
        <v>67.430000000000007</v>
      </c>
      <c r="I274" s="182">
        <f t="shared" si="81"/>
        <v>296130.31</v>
      </c>
      <c r="J274" s="181">
        <v>22.79</v>
      </c>
      <c r="K274" s="88">
        <f t="shared" si="82"/>
        <v>100086.16</v>
      </c>
      <c r="L274" s="76">
        <f t="shared" si="91"/>
        <v>1.5699999999999932</v>
      </c>
      <c r="M274" s="73">
        <f t="shared" si="84"/>
        <v>6894.92</v>
      </c>
      <c r="N274" s="86">
        <f t="shared" si="92"/>
        <v>0.9772463830816992</v>
      </c>
      <c r="O274" s="8"/>
      <c r="P274" s="9">
        <f t="shared" si="94"/>
        <v>44.64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L274" s="215"/>
      <c r="AM274" s="202">
        <v>24.33</v>
      </c>
      <c r="AN274" s="202">
        <v>20.309999999999999</v>
      </c>
    </row>
    <row r="275" spans="1:40" s="10" customFormat="1" ht="39.950000000000003" customHeight="1" x14ac:dyDescent="0.25">
      <c r="A275" s="55" t="s">
        <v>514</v>
      </c>
      <c r="B275" s="55" t="s">
        <v>523</v>
      </c>
      <c r="C275" s="89" t="s">
        <v>143</v>
      </c>
      <c r="D275" s="53" t="s">
        <v>490</v>
      </c>
      <c r="E275" s="130">
        <v>297</v>
      </c>
      <c r="F275" s="72">
        <v>325.2</v>
      </c>
      <c r="G275" s="73">
        <f t="shared" si="93"/>
        <v>96584.4</v>
      </c>
      <c r="H275" s="74">
        <f t="shared" si="90"/>
        <v>229.16</v>
      </c>
      <c r="I275" s="182">
        <f t="shared" si="81"/>
        <v>74522.83</v>
      </c>
      <c r="J275" s="181"/>
      <c r="K275" s="88">
        <f t="shared" si="82"/>
        <v>0</v>
      </c>
      <c r="L275" s="76">
        <f t="shared" si="91"/>
        <v>67.84</v>
      </c>
      <c r="M275" s="73">
        <f t="shared" si="84"/>
        <v>22061.57</v>
      </c>
      <c r="N275" s="86">
        <f t="shared" si="92"/>
        <v>0.77158247087521392</v>
      </c>
      <c r="O275" s="8"/>
      <c r="P275" s="9">
        <f t="shared" si="94"/>
        <v>229.16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L275" s="202"/>
      <c r="AM275" s="202">
        <v>118</v>
      </c>
      <c r="AN275" s="202">
        <v>111.16</v>
      </c>
    </row>
    <row r="276" spans="1:40" s="10" customFormat="1" ht="39.950000000000003" customHeight="1" x14ac:dyDescent="0.25">
      <c r="A276" s="55" t="s">
        <v>514</v>
      </c>
      <c r="B276" s="55" t="s">
        <v>524</v>
      </c>
      <c r="C276" s="89" t="s">
        <v>525</v>
      </c>
      <c r="D276" s="53" t="s">
        <v>485</v>
      </c>
      <c r="E276" s="130">
        <v>1297.58</v>
      </c>
      <c r="F276" s="72">
        <v>100.99</v>
      </c>
      <c r="G276" s="73">
        <f t="shared" si="93"/>
        <v>131042.6</v>
      </c>
      <c r="H276" s="74">
        <f t="shared" si="90"/>
        <v>857.6</v>
      </c>
      <c r="I276" s="182">
        <f t="shared" ref="I276:I301" si="95">ROUND(H276*F276,2)</f>
        <v>86609.02</v>
      </c>
      <c r="J276" s="181"/>
      <c r="K276" s="88">
        <f t="shared" ref="K276:K301" si="96">ROUND(J276*F276,2)</f>
        <v>0</v>
      </c>
      <c r="L276" s="76">
        <f t="shared" si="91"/>
        <v>439.9799999999999</v>
      </c>
      <c r="M276" s="73">
        <f t="shared" ref="M276:M301" si="97">ROUND(G276-I276,2)</f>
        <v>44433.58</v>
      </c>
      <c r="N276" s="86">
        <f t="shared" si="92"/>
        <v>0.66092263126647366</v>
      </c>
      <c r="O276" s="8"/>
      <c r="P276" s="9">
        <f t="shared" si="94"/>
        <v>857.6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L276" s="202"/>
      <c r="AM276" s="202">
        <v>264.73</v>
      </c>
      <c r="AN276" s="202">
        <v>592.87</v>
      </c>
    </row>
    <row r="277" spans="1:40" s="10" customFormat="1" ht="39.950000000000003" customHeight="1" x14ac:dyDescent="0.25">
      <c r="A277" s="55" t="s">
        <v>514</v>
      </c>
      <c r="B277" s="55" t="s">
        <v>526</v>
      </c>
      <c r="C277" s="89" t="s">
        <v>527</v>
      </c>
      <c r="D277" s="53" t="s">
        <v>528</v>
      </c>
      <c r="E277" s="130">
        <v>12646</v>
      </c>
      <c r="F277" s="72">
        <v>6.78</v>
      </c>
      <c r="G277" s="73">
        <f t="shared" si="93"/>
        <v>85739.88</v>
      </c>
      <c r="H277" s="74">
        <f t="shared" si="90"/>
        <v>7391.34</v>
      </c>
      <c r="I277" s="182">
        <f t="shared" si="95"/>
        <v>50113.29</v>
      </c>
      <c r="J277" s="181"/>
      <c r="K277" s="88">
        <f t="shared" si="96"/>
        <v>0</v>
      </c>
      <c r="L277" s="76">
        <f t="shared" si="91"/>
        <v>5254.66</v>
      </c>
      <c r="M277" s="73">
        <f t="shared" si="97"/>
        <v>35626.589999999997</v>
      </c>
      <c r="N277" s="86">
        <f t="shared" si="92"/>
        <v>0.58448052411549911</v>
      </c>
      <c r="O277" s="8"/>
      <c r="P277" s="9">
        <f t="shared" si="94"/>
        <v>7391.34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L277" s="202"/>
      <c r="AM277" s="202">
        <v>3323.25</v>
      </c>
      <c r="AN277" s="202">
        <v>4068.09</v>
      </c>
    </row>
    <row r="278" spans="1:40" s="10" customFormat="1" ht="39.950000000000003" customHeight="1" x14ac:dyDescent="0.25">
      <c r="A278" s="68">
        <v>2</v>
      </c>
      <c r="B278" s="68" t="s">
        <v>154</v>
      </c>
      <c r="C278" s="83" t="s">
        <v>529</v>
      </c>
      <c r="D278" s="84"/>
      <c r="E278" s="84"/>
      <c r="F278" s="84"/>
      <c r="G278" s="84"/>
      <c r="H278" s="84"/>
      <c r="I278" s="84">
        <f t="shared" si="95"/>
        <v>0</v>
      </c>
      <c r="J278" s="84"/>
      <c r="K278" s="84">
        <f t="shared" si="96"/>
        <v>0</v>
      </c>
      <c r="L278" s="84"/>
      <c r="M278" s="84">
        <f t="shared" si="97"/>
        <v>0</v>
      </c>
      <c r="N278" s="221"/>
      <c r="O278" s="8"/>
      <c r="P278" s="9">
        <f t="shared" si="94"/>
        <v>0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L278" s="203"/>
      <c r="AM278" s="203"/>
      <c r="AN278" s="203"/>
    </row>
    <row r="279" spans="1:40" s="10" customFormat="1" ht="39.950000000000003" customHeight="1" x14ac:dyDescent="0.25">
      <c r="A279" s="55">
        <v>2</v>
      </c>
      <c r="B279" s="55" t="s">
        <v>156</v>
      </c>
      <c r="C279" s="89" t="s">
        <v>530</v>
      </c>
      <c r="D279" s="53" t="s">
        <v>490</v>
      </c>
      <c r="E279" s="130">
        <v>262.56</v>
      </c>
      <c r="F279" s="72">
        <v>301.61</v>
      </c>
      <c r="G279" s="73">
        <f t="shared" si="93"/>
        <v>79190.720000000001</v>
      </c>
      <c r="H279" s="74">
        <f t="shared" ref="H279:H285" si="98">P279+J279</f>
        <v>84.65</v>
      </c>
      <c r="I279" s="87">
        <f t="shared" si="95"/>
        <v>25531.29</v>
      </c>
      <c r="J279" s="181">
        <f>3.33+65.65</f>
        <v>68.98</v>
      </c>
      <c r="K279" s="88">
        <f t="shared" si="96"/>
        <v>20805.060000000001</v>
      </c>
      <c r="L279" s="76">
        <f t="shared" ref="L279:L285" si="99">E279-H279</f>
        <v>177.91</v>
      </c>
      <c r="M279" s="73">
        <f t="shared" si="97"/>
        <v>53659.43</v>
      </c>
      <c r="N279" s="86">
        <f t="shared" ref="N279:N285" si="100">IF(G279=0,"",I279/G279)</f>
        <v>0.3224025491875816</v>
      </c>
      <c r="O279" s="8"/>
      <c r="P279" s="9">
        <f t="shared" si="94"/>
        <v>15.67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L279" s="215"/>
      <c r="AM279" s="202"/>
      <c r="AN279" s="202">
        <v>15.67</v>
      </c>
    </row>
    <row r="280" spans="1:40" s="10" customFormat="1" ht="39.950000000000003" customHeight="1" x14ac:dyDescent="0.25">
      <c r="A280" s="55">
        <v>2</v>
      </c>
      <c r="B280" s="55" t="s">
        <v>158</v>
      </c>
      <c r="C280" s="89" t="s">
        <v>531</v>
      </c>
      <c r="D280" s="53" t="s">
        <v>490</v>
      </c>
      <c r="E280" s="130">
        <v>330.76</v>
      </c>
      <c r="F280" s="72">
        <v>334.16</v>
      </c>
      <c r="G280" s="73">
        <f t="shared" si="93"/>
        <v>110526.76</v>
      </c>
      <c r="H280" s="74">
        <f t="shared" si="98"/>
        <v>236.17</v>
      </c>
      <c r="I280" s="182">
        <f t="shared" si="95"/>
        <v>78918.570000000007</v>
      </c>
      <c r="J280" s="181">
        <f>17+38.41</f>
        <v>55.41</v>
      </c>
      <c r="K280" s="88">
        <f t="shared" si="96"/>
        <v>18515.810000000001</v>
      </c>
      <c r="L280" s="76">
        <f t="shared" si="99"/>
        <v>94.59</v>
      </c>
      <c r="M280" s="73">
        <f t="shared" si="97"/>
        <v>31608.19</v>
      </c>
      <c r="N280" s="86">
        <f t="shared" si="100"/>
        <v>0.71402228745328289</v>
      </c>
      <c r="O280" s="8"/>
      <c r="P280" s="9">
        <f t="shared" si="94"/>
        <v>180.76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L280" s="215"/>
      <c r="AM280" s="202">
        <v>51.57</v>
      </c>
      <c r="AN280" s="202">
        <v>129.19</v>
      </c>
    </row>
    <row r="281" spans="1:40" s="10" customFormat="1" ht="39.950000000000003" customHeight="1" x14ac:dyDescent="0.25">
      <c r="A281" s="55">
        <v>2</v>
      </c>
      <c r="B281" s="55" t="s">
        <v>160</v>
      </c>
      <c r="C281" s="89" t="s">
        <v>532</v>
      </c>
      <c r="D281" s="53" t="s">
        <v>485</v>
      </c>
      <c r="E281" s="130">
        <v>2146.1799999999998</v>
      </c>
      <c r="F281" s="72">
        <v>84.45</v>
      </c>
      <c r="G281" s="73">
        <f t="shared" si="93"/>
        <v>181244.9</v>
      </c>
      <c r="H281" s="74">
        <f t="shared" si="98"/>
        <v>694.36999999999989</v>
      </c>
      <c r="I281" s="182">
        <f t="shared" si="95"/>
        <v>58639.55</v>
      </c>
      <c r="J281" s="181">
        <v>395.15</v>
      </c>
      <c r="K281" s="183">
        <f t="shared" si="96"/>
        <v>33370.42</v>
      </c>
      <c r="L281" s="76">
        <f t="shared" si="99"/>
        <v>1451.81</v>
      </c>
      <c r="M281" s="73">
        <f t="shared" si="97"/>
        <v>122605.35</v>
      </c>
      <c r="N281" s="86">
        <f t="shared" si="100"/>
        <v>0.32353765540437279</v>
      </c>
      <c r="O281" s="8"/>
      <c r="P281" s="9">
        <f t="shared" si="94"/>
        <v>299.21999999999997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L281" s="209"/>
      <c r="AM281" s="209">
        <v>181.95</v>
      </c>
      <c r="AN281" s="209">
        <v>117.27</v>
      </c>
    </row>
    <row r="282" spans="1:40" s="10" customFormat="1" ht="39.950000000000003" customHeight="1" x14ac:dyDescent="0.25">
      <c r="A282" s="55">
        <v>2</v>
      </c>
      <c r="B282" s="55" t="s">
        <v>161</v>
      </c>
      <c r="C282" s="89" t="s">
        <v>527</v>
      </c>
      <c r="D282" s="53" t="s">
        <v>528</v>
      </c>
      <c r="E282" s="130">
        <v>33137.269999999997</v>
      </c>
      <c r="F282" s="72">
        <v>6.78</v>
      </c>
      <c r="G282" s="73">
        <f t="shared" si="93"/>
        <v>224670.69</v>
      </c>
      <c r="H282" s="74">
        <f t="shared" si="98"/>
        <v>20136.73</v>
      </c>
      <c r="I282" s="73">
        <f t="shared" si="95"/>
        <v>136527.03</v>
      </c>
      <c r="J282" s="181">
        <f>2212.67+4721.88</f>
        <v>6934.55</v>
      </c>
      <c r="K282" s="75">
        <f t="shared" si="96"/>
        <v>47016.25</v>
      </c>
      <c r="L282" s="76">
        <f t="shared" si="99"/>
        <v>13000.539999999997</v>
      </c>
      <c r="M282" s="73">
        <f t="shared" si="97"/>
        <v>88143.66</v>
      </c>
      <c r="N282" s="86">
        <f t="shared" si="100"/>
        <v>0.60767619487882463</v>
      </c>
      <c r="O282" s="8"/>
      <c r="P282" s="9">
        <f t="shared" si="94"/>
        <v>13202.18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L282" s="215"/>
      <c r="AM282" s="202">
        <v>5042.08</v>
      </c>
      <c r="AN282" s="202">
        <v>8160.1</v>
      </c>
    </row>
    <row r="283" spans="1:40" s="10" customFormat="1" ht="39.950000000000003" customHeight="1" x14ac:dyDescent="0.25">
      <c r="A283" s="55">
        <v>2</v>
      </c>
      <c r="B283" s="55" t="s">
        <v>162</v>
      </c>
      <c r="C283" s="89" t="s">
        <v>533</v>
      </c>
      <c r="D283" s="53" t="s">
        <v>534</v>
      </c>
      <c r="E283" s="130">
        <v>1959.98</v>
      </c>
      <c r="F283" s="72">
        <v>11.51</v>
      </c>
      <c r="G283" s="73">
        <f t="shared" si="93"/>
        <v>22559.37</v>
      </c>
      <c r="H283" s="74">
        <f t="shared" si="98"/>
        <v>491.7</v>
      </c>
      <c r="I283" s="87">
        <f t="shared" si="95"/>
        <v>5659.47</v>
      </c>
      <c r="J283" s="181">
        <v>491.7</v>
      </c>
      <c r="K283" s="88"/>
      <c r="L283" s="76">
        <f t="shared" si="99"/>
        <v>1468.28</v>
      </c>
      <c r="M283" s="73">
        <f t="shared" si="97"/>
        <v>16899.900000000001</v>
      </c>
      <c r="N283" s="86">
        <f t="shared" si="100"/>
        <v>0.25087003759413495</v>
      </c>
      <c r="O283" s="8"/>
      <c r="P283" s="9">
        <f t="shared" si="94"/>
        <v>0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L283" s="215"/>
      <c r="AM283" s="215"/>
      <c r="AN283" s="215"/>
    </row>
    <row r="284" spans="1:40" s="10" customFormat="1" ht="39.950000000000003" customHeight="1" x14ac:dyDescent="0.25">
      <c r="A284" s="55">
        <v>2</v>
      </c>
      <c r="B284" s="53" t="s">
        <v>164</v>
      </c>
      <c r="C284" s="89" t="s">
        <v>535</v>
      </c>
      <c r="D284" s="53" t="s">
        <v>534</v>
      </c>
      <c r="E284" s="130">
        <v>199.26</v>
      </c>
      <c r="F284" s="72">
        <v>55.52</v>
      </c>
      <c r="G284" s="73">
        <f t="shared" si="93"/>
        <v>11062.92</v>
      </c>
      <c r="H284" s="74">
        <f t="shared" si="98"/>
        <v>36.9</v>
      </c>
      <c r="I284" s="87">
        <f t="shared" si="95"/>
        <v>2048.69</v>
      </c>
      <c r="J284" s="181">
        <v>36.9</v>
      </c>
      <c r="K284" s="88">
        <f t="shared" si="96"/>
        <v>2048.69</v>
      </c>
      <c r="L284" s="76">
        <f t="shared" si="99"/>
        <v>162.35999999999999</v>
      </c>
      <c r="M284" s="73">
        <f t="shared" si="97"/>
        <v>9014.23</v>
      </c>
      <c r="N284" s="86">
        <f t="shared" si="100"/>
        <v>0.1851852856207945</v>
      </c>
      <c r="O284" s="8"/>
      <c r="P284" s="9">
        <f t="shared" si="94"/>
        <v>0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L284" s="215"/>
      <c r="AM284" s="215"/>
      <c r="AN284" s="215"/>
    </row>
    <row r="285" spans="1:40" s="10" customFormat="1" ht="39.950000000000003" customHeight="1" x14ac:dyDescent="0.25">
      <c r="A285" s="55">
        <v>2</v>
      </c>
      <c r="B285" s="53" t="s">
        <v>166</v>
      </c>
      <c r="C285" s="89" t="s">
        <v>536</v>
      </c>
      <c r="D285" s="53" t="s">
        <v>486</v>
      </c>
      <c r="E285" s="130">
        <v>17735.46</v>
      </c>
      <c r="F285" s="72">
        <v>49.6</v>
      </c>
      <c r="G285" s="73">
        <f t="shared" si="93"/>
        <v>879678.82</v>
      </c>
      <c r="H285" s="74">
        <f t="shared" si="98"/>
        <v>4101.8599999999997</v>
      </c>
      <c r="I285" s="87">
        <f t="shared" si="95"/>
        <v>203452.26</v>
      </c>
      <c r="J285" s="181">
        <f>345.26+3050.53</f>
        <v>3395.79</v>
      </c>
      <c r="K285" s="88">
        <f t="shared" si="96"/>
        <v>168431.18</v>
      </c>
      <c r="L285" s="76">
        <f t="shared" si="99"/>
        <v>13633.599999999999</v>
      </c>
      <c r="M285" s="73">
        <f t="shared" si="97"/>
        <v>676226.56000000006</v>
      </c>
      <c r="N285" s="86">
        <f t="shared" si="100"/>
        <v>0.23128016200276372</v>
      </c>
      <c r="O285" s="8"/>
      <c r="P285" s="9">
        <f t="shared" si="94"/>
        <v>706.07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L285" s="215"/>
      <c r="AM285" s="202">
        <v>91.2</v>
      </c>
      <c r="AN285" s="202">
        <v>614.87</v>
      </c>
    </row>
    <row r="286" spans="1:40" s="10" customFormat="1" ht="39.950000000000003" customHeight="1" x14ac:dyDescent="0.25">
      <c r="A286" s="68">
        <v>2</v>
      </c>
      <c r="B286" s="68" t="s">
        <v>234</v>
      </c>
      <c r="C286" s="83" t="s">
        <v>537</v>
      </c>
      <c r="D286" s="84"/>
      <c r="E286" s="84"/>
      <c r="F286" s="84"/>
      <c r="G286" s="84"/>
      <c r="H286" s="84"/>
      <c r="I286" s="84">
        <f t="shared" si="95"/>
        <v>0</v>
      </c>
      <c r="J286" s="84"/>
      <c r="K286" s="84">
        <f t="shared" si="96"/>
        <v>0</v>
      </c>
      <c r="L286" s="84"/>
      <c r="M286" s="84">
        <f t="shared" si="97"/>
        <v>0</v>
      </c>
      <c r="N286" s="221"/>
      <c r="O286" s="8"/>
      <c r="P286" s="9">
        <f t="shared" si="94"/>
        <v>0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L286" s="203"/>
      <c r="AM286" s="203"/>
      <c r="AN286" s="203"/>
    </row>
    <row r="287" spans="1:40" s="10" customFormat="1" ht="39.950000000000003" customHeight="1" x14ac:dyDescent="0.25">
      <c r="A287" s="55">
        <v>2</v>
      </c>
      <c r="B287" s="55" t="s">
        <v>236</v>
      </c>
      <c r="C287" s="89" t="s">
        <v>531</v>
      </c>
      <c r="D287" s="53" t="s">
        <v>93</v>
      </c>
      <c r="E287" s="71">
        <v>962.24</v>
      </c>
      <c r="F287" s="72">
        <v>334.16</v>
      </c>
      <c r="G287" s="73">
        <f t="shared" si="93"/>
        <v>321542.12</v>
      </c>
      <c r="H287" s="74">
        <f t="shared" ref="H287:H301" si="101">P287+J287</f>
        <v>50.72</v>
      </c>
      <c r="I287" s="182">
        <f t="shared" si="95"/>
        <v>16948.599999999999</v>
      </c>
      <c r="J287" s="181">
        <v>36.729999999999997</v>
      </c>
      <c r="K287" s="88">
        <f t="shared" si="96"/>
        <v>12273.7</v>
      </c>
      <c r="L287" s="76">
        <f t="shared" ref="L287:L301" si="102">E287-H287</f>
        <v>911.52</v>
      </c>
      <c r="M287" s="73">
        <f t="shared" si="97"/>
        <v>304593.52</v>
      </c>
      <c r="N287" s="86">
        <f t="shared" ref="N287:N301" si="103">IF(G287=0,"",I287/G287)</f>
        <v>5.2710357199859226E-2</v>
      </c>
      <c r="O287" s="8"/>
      <c r="P287" s="9">
        <f t="shared" si="94"/>
        <v>13.989999999999998</v>
      </c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L287" s="202">
        <v>3.6</v>
      </c>
      <c r="AM287" s="202">
        <v>5.52</v>
      </c>
      <c r="AN287" s="202">
        <v>4.87</v>
      </c>
    </row>
    <row r="288" spans="1:40" s="10" customFormat="1" ht="39.950000000000003" customHeight="1" x14ac:dyDescent="0.25">
      <c r="A288" s="55">
        <v>2</v>
      </c>
      <c r="B288" s="55" t="s">
        <v>238</v>
      </c>
      <c r="C288" s="89" t="s">
        <v>538</v>
      </c>
      <c r="D288" s="53" t="s">
        <v>539</v>
      </c>
      <c r="E288" s="71">
        <v>583</v>
      </c>
      <c r="F288" s="72">
        <v>66.150000000000006</v>
      </c>
      <c r="G288" s="73">
        <f t="shared" si="93"/>
        <v>38565.449999999997</v>
      </c>
      <c r="H288" s="74">
        <f t="shared" si="101"/>
        <v>0</v>
      </c>
      <c r="I288" s="182">
        <f t="shared" si="95"/>
        <v>0</v>
      </c>
      <c r="J288" s="81"/>
      <c r="K288" s="88">
        <f t="shared" si="96"/>
        <v>0</v>
      </c>
      <c r="L288" s="76">
        <f t="shared" si="102"/>
        <v>583</v>
      </c>
      <c r="M288" s="73">
        <f t="shared" si="97"/>
        <v>38565.449999999997</v>
      </c>
      <c r="N288" s="86">
        <f t="shared" si="103"/>
        <v>0</v>
      </c>
      <c r="O288" s="8"/>
      <c r="P288" s="9">
        <f t="shared" si="94"/>
        <v>0</v>
      </c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L288" s="215"/>
      <c r="AM288" s="215"/>
      <c r="AN288" s="215"/>
    </row>
    <row r="289" spans="1:40" s="10" customFormat="1" ht="39.950000000000003" hidden="1" customHeight="1" x14ac:dyDescent="0.25">
      <c r="A289" s="226">
        <v>2</v>
      </c>
      <c r="B289" s="226" t="s">
        <v>239</v>
      </c>
      <c r="C289" s="238" t="s">
        <v>540</v>
      </c>
      <c r="D289" s="239" t="s">
        <v>485</v>
      </c>
      <c r="E289" s="229">
        <v>0</v>
      </c>
      <c r="F289" s="230">
        <v>45.96</v>
      </c>
      <c r="G289" s="231">
        <f t="shared" si="93"/>
        <v>0</v>
      </c>
      <c r="H289" s="232">
        <f t="shared" si="101"/>
        <v>0</v>
      </c>
      <c r="I289" s="268">
        <f t="shared" si="95"/>
        <v>0</v>
      </c>
      <c r="J289" s="245"/>
      <c r="K289" s="246">
        <f t="shared" si="96"/>
        <v>0</v>
      </c>
      <c r="L289" s="235">
        <f t="shared" si="102"/>
        <v>0</v>
      </c>
      <c r="M289" s="231">
        <f t="shared" si="97"/>
        <v>0</v>
      </c>
      <c r="N289" s="237" t="str">
        <f t="shared" si="103"/>
        <v/>
      </c>
      <c r="O289" s="8"/>
      <c r="P289" s="9">
        <f t="shared" si="94"/>
        <v>0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L289" s="215"/>
      <c r="AM289" s="215"/>
      <c r="AN289" s="215"/>
    </row>
    <row r="290" spans="1:40" s="10" customFormat="1" ht="39.950000000000003" customHeight="1" x14ac:dyDescent="0.25">
      <c r="A290" s="55">
        <v>2</v>
      </c>
      <c r="B290" s="55" t="s">
        <v>240</v>
      </c>
      <c r="C290" s="89" t="s">
        <v>532</v>
      </c>
      <c r="D290" s="53" t="s">
        <v>485</v>
      </c>
      <c r="E290" s="71">
        <v>4217.54</v>
      </c>
      <c r="F290" s="72">
        <v>84.45</v>
      </c>
      <c r="G290" s="73">
        <f t="shared" si="93"/>
        <v>356171.25</v>
      </c>
      <c r="H290" s="74">
        <f t="shared" si="101"/>
        <v>505.53000000000003</v>
      </c>
      <c r="I290" s="182">
        <f t="shared" si="95"/>
        <v>42692.01</v>
      </c>
      <c r="J290" s="181">
        <v>138.24</v>
      </c>
      <c r="K290" s="88">
        <f t="shared" si="96"/>
        <v>11674.37</v>
      </c>
      <c r="L290" s="76">
        <f t="shared" si="102"/>
        <v>3712.0099999999998</v>
      </c>
      <c r="M290" s="73">
        <f t="shared" si="97"/>
        <v>313479.24</v>
      </c>
      <c r="N290" s="86">
        <f t="shared" si="103"/>
        <v>0.11986371724275893</v>
      </c>
      <c r="O290" s="8"/>
      <c r="P290" s="9">
        <f t="shared" si="94"/>
        <v>367.29</v>
      </c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L290" s="202">
        <v>86.4</v>
      </c>
      <c r="AM290" s="202">
        <v>153</v>
      </c>
      <c r="AN290" s="202">
        <v>127.89</v>
      </c>
    </row>
    <row r="291" spans="1:40" s="10" customFormat="1" ht="39.950000000000003" hidden="1" customHeight="1" x14ac:dyDescent="0.25">
      <c r="A291" s="226">
        <v>2</v>
      </c>
      <c r="B291" s="226" t="s">
        <v>242</v>
      </c>
      <c r="C291" s="238" t="s">
        <v>541</v>
      </c>
      <c r="D291" s="239" t="s">
        <v>528</v>
      </c>
      <c r="E291" s="229">
        <v>0</v>
      </c>
      <c r="F291" s="230">
        <v>7.52</v>
      </c>
      <c r="G291" s="231">
        <f t="shared" si="93"/>
        <v>0</v>
      </c>
      <c r="H291" s="232">
        <f t="shared" si="101"/>
        <v>0</v>
      </c>
      <c r="I291" s="268">
        <f t="shared" si="95"/>
        <v>0</v>
      </c>
      <c r="J291" s="245"/>
      <c r="K291" s="246">
        <f t="shared" si="96"/>
        <v>0</v>
      </c>
      <c r="L291" s="235">
        <f t="shared" si="102"/>
        <v>0</v>
      </c>
      <c r="M291" s="231">
        <f t="shared" si="97"/>
        <v>0</v>
      </c>
      <c r="N291" s="237" t="str">
        <f t="shared" si="103"/>
        <v/>
      </c>
      <c r="O291" s="8"/>
      <c r="P291" s="9">
        <f t="shared" si="94"/>
        <v>0</v>
      </c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L291" s="215"/>
      <c r="AM291" s="215"/>
      <c r="AN291" s="215"/>
    </row>
    <row r="292" spans="1:40" s="10" customFormat="1" ht="39.950000000000003" customHeight="1" x14ac:dyDescent="0.25">
      <c r="A292" s="55">
        <v>2</v>
      </c>
      <c r="B292" s="55" t="s">
        <v>244</v>
      </c>
      <c r="C292" s="89" t="s">
        <v>527</v>
      </c>
      <c r="D292" s="53" t="s">
        <v>528</v>
      </c>
      <c r="E292" s="71">
        <v>153631</v>
      </c>
      <c r="F292" s="72">
        <v>6.78</v>
      </c>
      <c r="G292" s="73">
        <f t="shared" si="93"/>
        <v>1041618.18</v>
      </c>
      <c r="H292" s="74">
        <f t="shared" si="101"/>
        <v>17497.63</v>
      </c>
      <c r="I292" s="182">
        <f t="shared" si="95"/>
        <v>118633.93</v>
      </c>
      <c r="J292" s="181">
        <v>15911.87</v>
      </c>
      <c r="K292" s="88">
        <f t="shared" si="96"/>
        <v>107882.48</v>
      </c>
      <c r="L292" s="76">
        <f t="shared" si="102"/>
        <v>136133.37</v>
      </c>
      <c r="M292" s="73">
        <f t="shared" si="97"/>
        <v>922984.25</v>
      </c>
      <c r="N292" s="86">
        <f t="shared" si="103"/>
        <v>0.11389387424094305</v>
      </c>
      <c r="O292" s="8"/>
      <c r="P292" s="9">
        <f t="shared" si="94"/>
        <v>1585.7599999999998</v>
      </c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L292" s="202">
        <v>408</v>
      </c>
      <c r="AM292" s="202">
        <v>625.6</v>
      </c>
      <c r="AN292" s="202">
        <v>552.16</v>
      </c>
    </row>
    <row r="293" spans="1:40" s="10" customFormat="1" ht="39.950000000000003" customHeight="1" x14ac:dyDescent="0.25">
      <c r="A293" s="55">
        <v>2</v>
      </c>
      <c r="B293" s="55" t="s">
        <v>246</v>
      </c>
      <c r="C293" s="89" t="s">
        <v>542</v>
      </c>
      <c r="D293" s="53" t="s">
        <v>487</v>
      </c>
      <c r="E293" s="71">
        <v>2664.16</v>
      </c>
      <c r="F293" s="72">
        <v>2.5</v>
      </c>
      <c r="G293" s="73">
        <f t="shared" si="93"/>
        <v>6660.4</v>
      </c>
      <c r="H293" s="74">
        <f t="shared" si="101"/>
        <v>0</v>
      </c>
      <c r="I293" s="87">
        <f t="shared" si="95"/>
        <v>0</v>
      </c>
      <c r="J293" s="81"/>
      <c r="K293" s="88">
        <f t="shared" si="96"/>
        <v>0</v>
      </c>
      <c r="L293" s="76">
        <f t="shared" si="102"/>
        <v>2664.16</v>
      </c>
      <c r="M293" s="73">
        <f t="shared" si="97"/>
        <v>6660.4</v>
      </c>
      <c r="N293" s="86">
        <f t="shared" si="103"/>
        <v>0</v>
      </c>
      <c r="O293" s="8"/>
      <c r="P293" s="9">
        <f t="shared" si="94"/>
        <v>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L293" s="215"/>
      <c r="AM293" s="215"/>
      <c r="AN293" s="215"/>
    </row>
    <row r="294" spans="1:40" s="10" customFormat="1" ht="39.950000000000003" customHeight="1" x14ac:dyDescent="0.25">
      <c r="A294" s="55">
        <v>2</v>
      </c>
      <c r="B294" s="55" t="s">
        <v>248</v>
      </c>
      <c r="C294" s="125" t="s">
        <v>543</v>
      </c>
      <c r="D294" s="132" t="s">
        <v>490</v>
      </c>
      <c r="E294" s="71">
        <v>66.603999999999999</v>
      </c>
      <c r="F294" s="91">
        <v>548.74</v>
      </c>
      <c r="G294" s="73">
        <f t="shared" si="93"/>
        <v>36548.28</v>
      </c>
      <c r="H294" s="74">
        <f t="shared" si="101"/>
        <v>0</v>
      </c>
      <c r="I294" s="87">
        <f t="shared" si="95"/>
        <v>0</v>
      </c>
      <c r="J294" s="81"/>
      <c r="K294" s="88">
        <f t="shared" si="96"/>
        <v>0</v>
      </c>
      <c r="L294" s="76">
        <f t="shared" si="102"/>
        <v>66.603999999999999</v>
      </c>
      <c r="M294" s="73">
        <f t="shared" si="97"/>
        <v>36548.28</v>
      </c>
      <c r="N294" s="86">
        <f t="shared" si="103"/>
        <v>0</v>
      </c>
      <c r="O294" s="8"/>
      <c r="P294" s="9">
        <f t="shared" si="94"/>
        <v>0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L294" s="215"/>
      <c r="AM294" s="215"/>
      <c r="AN294" s="215"/>
    </row>
    <row r="295" spans="1:40" s="10" customFormat="1" ht="39.950000000000003" customHeight="1" x14ac:dyDescent="0.25">
      <c r="A295" s="55">
        <v>2</v>
      </c>
      <c r="B295" s="55" t="s">
        <v>250</v>
      </c>
      <c r="C295" s="69" t="s">
        <v>187</v>
      </c>
      <c r="D295" s="70" t="s">
        <v>96</v>
      </c>
      <c r="E295" s="71">
        <v>1332.08</v>
      </c>
      <c r="F295" s="72">
        <v>1.47</v>
      </c>
      <c r="G295" s="73">
        <f t="shared" si="93"/>
        <v>1958.16</v>
      </c>
      <c r="H295" s="74">
        <f t="shared" si="101"/>
        <v>0</v>
      </c>
      <c r="I295" s="87">
        <f t="shared" si="95"/>
        <v>0</v>
      </c>
      <c r="J295" s="81"/>
      <c r="K295" s="88">
        <f t="shared" si="96"/>
        <v>0</v>
      </c>
      <c r="L295" s="76">
        <f t="shared" si="102"/>
        <v>1332.08</v>
      </c>
      <c r="M295" s="73">
        <f t="shared" si="97"/>
        <v>1958.16</v>
      </c>
      <c r="N295" s="86">
        <f t="shared" si="103"/>
        <v>0</v>
      </c>
      <c r="O295" s="8"/>
      <c r="P295" s="9">
        <f t="shared" si="94"/>
        <v>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L295" s="215"/>
      <c r="AM295" s="215"/>
      <c r="AN295" s="215"/>
    </row>
    <row r="296" spans="1:40" s="10" customFormat="1" ht="39.950000000000003" customHeight="1" x14ac:dyDescent="0.25">
      <c r="A296" s="55">
        <v>2</v>
      </c>
      <c r="B296" s="55" t="s">
        <v>252</v>
      </c>
      <c r="C296" s="69" t="s">
        <v>544</v>
      </c>
      <c r="D296" s="70" t="s">
        <v>490</v>
      </c>
      <c r="E296" s="71">
        <v>66.603999999999999</v>
      </c>
      <c r="F296" s="91">
        <v>630</v>
      </c>
      <c r="G296" s="73">
        <f t="shared" si="93"/>
        <v>41960.52</v>
      </c>
      <c r="H296" s="74">
        <f t="shared" si="101"/>
        <v>0</v>
      </c>
      <c r="I296" s="87">
        <f t="shared" si="95"/>
        <v>0</v>
      </c>
      <c r="J296" s="81"/>
      <c r="K296" s="88">
        <f t="shared" si="96"/>
        <v>0</v>
      </c>
      <c r="L296" s="76">
        <f t="shared" si="102"/>
        <v>66.603999999999999</v>
      </c>
      <c r="M296" s="73">
        <f t="shared" si="97"/>
        <v>41960.52</v>
      </c>
      <c r="N296" s="86">
        <f t="shared" si="103"/>
        <v>0</v>
      </c>
      <c r="O296" s="8"/>
      <c r="P296" s="9">
        <f t="shared" si="94"/>
        <v>0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L296" s="215"/>
      <c r="AM296" s="215"/>
      <c r="AN296" s="215"/>
    </row>
    <row r="297" spans="1:40" s="10" customFormat="1" ht="39.950000000000003" customHeight="1" x14ac:dyDescent="0.25">
      <c r="A297" s="55">
        <v>2</v>
      </c>
      <c r="B297" s="55" t="s">
        <v>254</v>
      </c>
      <c r="C297" s="89" t="s">
        <v>191</v>
      </c>
      <c r="D297" s="70" t="s">
        <v>96</v>
      </c>
      <c r="E297" s="71">
        <v>1332.08</v>
      </c>
      <c r="F297" s="72">
        <v>1.47</v>
      </c>
      <c r="G297" s="73">
        <f t="shared" si="93"/>
        <v>1958.16</v>
      </c>
      <c r="H297" s="74">
        <f t="shared" si="101"/>
        <v>0</v>
      </c>
      <c r="I297" s="87">
        <f t="shared" si="95"/>
        <v>0</v>
      </c>
      <c r="J297" s="81"/>
      <c r="K297" s="88">
        <f t="shared" si="96"/>
        <v>0</v>
      </c>
      <c r="L297" s="76">
        <f t="shared" si="102"/>
        <v>1332.08</v>
      </c>
      <c r="M297" s="73">
        <f t="shared" si="97"/>
        <v>1958.16</v>
      </c>
      <c r="N297" s="86">
        <f t="shared" si="103"/>
        <v>0</v>
      </c>
      <c r="O297" s="8"/>
      <c r="P297" s="9">
        <f t="shared" si="94"/>
        <v>0</v>
      </c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L297" s="215"/>
      <c r="AM297" s="215"/>
      <c r="AN297" s="215"/>
    </row>
    <row r="298" spans="1:40" s="10" customFormat="1" ht="39.950000000000003" customHeight="1" x14ac:dyDescent="0.25">
      <c r="A298" s="55">
        <v>2</v>
      </c>
      <c r="B298" s="55" t="s">
        <v>256</v>
      </c>
      <c r="C298" s="89" t="s">
        <v>545</v>
      </c>
      <c r="D298" s="53" t="s">
        <v>45</v>
      </c>
      <c r="E298" s="71">
        <v>50.48</v>
      </c>
      <c r="F298" s="72">
        <v>548.21</v>
      </c>
      <c r="G298" s="73">
        <f t="shared" si="93"/>
        <v>27673.64</v>
      </c>
      <c r="H298" s="74">
        <f t="shared" si="101"/>
        <v>0</v>
      </c>
      <c r="I298" s="87">
        <f t="shared" si="95"/>
        <v>0</v>
      </c>
      <c r="J298" s="81"/>
      <c r="K298" s="88">
        <f t="shared" si="96"/>
        <v>0</v>
      </c>
      <c r="L298" s="76">
        <f t="shared" si="102"/>
        <v>50.48</v>
      </c>
      <c r="M298" s="73">
        <f t="shared" si="97"/>
        <v>27673.64</v>
      </c>
      <c r="N298" s="86">
        <f t="shared" si="103"/>
        <v>0</v>
      </c>
      <c r="O298" s="8"/>
      <c r="P298" s="9">
        <f t="shared" si="94"/>
        <v>0</v>
      </c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L298" s="215"/>
      <c r="AM298" s="215"/>
      <c r="AN298" s="215"/>
    </row>
    <row r="299" spans="1:40" s="10" customFormat="1" ht="39.950000000000003" customHeight="1" x14ac:dyDescent="0.25">
      <c r="A299" s="55">
        <v>2</v>
      </c>
      <c r="B299" s="53" t="s">
        <v>258</v>
      </c>
      <c r="C299" s="89" t="s">
        <v>546</v>
      </c>
      <c r="D299" s="53" t="s">
        <v>45</v>
      </c>
      <c r="E299" s="71">
        <v>859.24</v>
      </c>
      <c r="F299" s="72">
        <v>22.01</v>
      </c>
      <c r="G299" s="73">
        <f t="shared" si="93"/>
        <v>18911.87</v>
      </c>
      <c r="H299" s="74">
        <f t="shared" si="101"/>
        <v>0</v>
      </c>
      <c r="I299" s="87">
        <f t="shared" si="95"/>
        <v>0</v>
      </c>
      <c r="J299" s="81"/>
      <c r="K299" s="88">
        <f t="shared" si="96"/>
        <v>0</v>
      </c>
      <c r="L299" s="76">
        <f t="shared" si="102"/>
        <v>859.24</v>
      </c>
      <c r="M299" s="73">
        <f t="shared" si="97"/>
        <v>18911.87</v>
      </c>
      <c r="N299" s="86">
        <f t="shared" si="103"/>
        <v>0</v>
      </c>
      <c r="O299" s="8"/>
      <c r="P299" s="9">
        <f t="shared" si="94"/>
        <v>0</v>
      </c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L299" s="215"/>
      <c r="AM299" s="215"/>
      <c r="AN299" s="215"/>
    </row>
    <row r="300" spans="1:40" s="10" customFormat="1" ht="39.950000000000003" customHeight="1" x14ac:dyDescent="0.25">
      <c r="A300" s="55">
        <v>2</v>
      </c>
      <c r="B300" s="53" t="s">
        <v>260</v>
      </c>
      <c r="C300" s="69" t="s">
        <v>547</v>
      </c>
      <c r="D300" s="70" t="s">
        <v>497</v>
      </c>
      <c r="E300" s="71">
        <v>291.02999999999997</v>
      </c>
      <c r="F300" s="72">
        <v>618.92999999999995</v>
      </c>
      <c r="G300" s="73">
        <f t="shared" si="93"/>
        <v>180127.2</v>
      </c>
      <c r="H300" s="74">
        <f t="shared" si="101"/>
        <v>0</v>
      </c>
      <c r="I300" s="87">
        <f t="shared" si="95"/>
        <v>0</v>
      </c>
      <c r="J300" s="81"/>
      <c r="K300" s="88">
        <f t="shared" si="96"/>
        <v>0</v>
      </c>
      <c r="L300" s="76">
        <f t="shared" si="102"/>
        <v>291.02999999999997</v>
      </c>
      <c r="M300" s="73">
        <f t="shared" si="97"/>
        <v>180127.2</v>
      </c>
      <c r="N300" s="86">
        <f t="shared" si="103"/>
        <v>0</v>
      </c>
      <c r="O300" s="8"/>
      <c r="P300" s="9">
        <f t="shared" si="94"/>
        <v>0</v>
      </c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L300" s="215"/>
      <c r="AM300" s="215"/>
      <c r="AN300" s="215"/>
    </row>
    <row r="301" spans="1:40" s="10" customFormat="1" ht="39.950000000000003" hidden="1" customHeight="1" x14ac:dyDescent="0.25">
      <c r="A301" s="226">
        <v>2</v>
      </c>
      <c r="B301" s="239" t="s">
        <v>262</v>
      </c>
      <c r="C301" s="227" t="s">
        <v>548</v>
      </c>
      <c r="D301" s="228" t="s">
        <v>90</v>
      </c>
      <c r="E301" s="255">
        <v>0</v>
      </c>
      <c r="F301" s="230">
        <v>7168.31</v>
      </c>
      <c r="G301" s="231">
        <f t="shared" ref="G301" si="104">E301*F301</f>
        <v>0</v>
      </c>
      <c r="H301" s="232">
        <f t="shared" si="101"/>
        <v>0</v>
      </c>
      <c r="I301" s="244">
        <f t="shared" si="95"/>
        <v>0</v>
      </c>
      <c r="J301" s="245"/>
      <c r="K301" s="246">
        <f t="shared" si="96"/>
        <v>0</v>
      </c>
      <c r="L301" s="235">
        <f t="shared" si="102"/>
        <v>0</v>
      </c>
      <c r="M301" s="231">
        <f t="shared" si="97"/>
        <v>0</v>
      </c>
      <c r="N301" s="237" t="str">
        <f t="shared" si="103"/>
        <v/>
      </c>
      <c r="O301" s="8"/>
      <c r="P301" s="9">
        <f t="shared" si="94"/>
        <v>0</v>
      </c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L301" s="215"/>
      <c r="AM301" s="215"/>
      <c r="AN301" s="215"/>
    </row>
    <row r="302" spans="1:40" s="10" customFormat="1" ht="39.950000000000003" customHeight="1" x14ac:dyDescent="0.25">
      <c r="A302" s="274" t="s">
        <v>549</v>
      </c>
      <c r="B302" s="274"/>
      <c r="C302" s="274"/>
      <c r="D302" s="274"/>
      <c r="E302" s="274"/>
      <c r="F302" s="274"/>
      <c r="G302" s="79">
        <f>SUM(G244:G301)</f>
        <v>5486199.7200000007</v>
      </c>
      <c r="H302" s="80"/>
      <c r="I302" s="79">
        <f>SUM(I244:I301)</f>
        <v>2093099.2000000004</v>
      </c>
      <c r="J302" s="81"/>
      <c r="K302" s="79">
        <f>SUM(K244:K301)</f>
        <v>626518.11</v>
      </c>
      <c r="L302" s="82"/>
      <c r="M302" s="79">
        <f>SUM(M244:M301)</f>
        <v>3393100.5200000005</v>
      </c>
      <c r="N302" s="93">
        <f>E302-L302</f>
        <v>0</v>
      </c>
      <c r="O302" s="8"/>
      <c r="P302" s="9">
        <f t="shared" si="94"/>
        <v>0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L302" s="215"/>
      <c r="AM302" s="215"/>
      <c r="AN302" s="215"/>
    </row>
    <row r="303" spans="1:40" s="10" customFormat="1" ht="39.950000000000003" customHeight="1" x14ac:dyDescent="0.25">
      <c r="A303" s="68">
        <v>3</v>
      </c>
      <c r="B303" s="68"/>
      <c r="C303" s="83" t="s">
        <v>635</v>
      </c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221"/>
      <c r="O303" s="8"/>
      <c r="P303" s="9">
        <f t="shared" si="94"/>
        <v>0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L303" s="203"/>
      <c r="AM303" s="203"/>
      <c r="AN303" s="203"/>
    </row>
    <row r="304" spans="1:40" s="10" customFormat="1" ht="39.950000000000003" customHeight="1" x14ac:dyDescent="0.25">
      <c r="A304" s="68"/>
      <c r="B304" s="68" t="s">
        <v>550</v>
      </c>
      <c r="C304" s="83" t="s">
        <v>551</v>
      </c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221"/>
      <c r="O304" s="8"/>
      <c r="P304" s="9">
        <f t="shared" si="94"/>
        <v>0</v>
      </c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L304" s="203"/>
      <c r="AM304" s="203"/>
      <c r="AN304" s="203"/>
    </row>
    <row r="305" spans="1:40" s="10" customFormat="1" ht="39.950000000000003" customHeight="1" x14ac:dyDescent="0.25">
      <c r="A305" s="53">
        <v>3</v>
      </c>
      <c r="B305" s="53" t="s">
        <v>552</v>
      </c>
      <c r="C305" s="89" t="s">
        <v>553</v>
      </c>
      <c r="D305" s="55" t="s">
        <v>107</v>
      </c>
      <c r="E305" s="56">
        <v>6187.2169000000004</v>
      </c>
      <c r="F305" s="73">
        <v>2.7674862444444401</v>
      </c>
      <c r="G305" s="73">
        <f t="shared" ref="G305:G311" si="105">ROUND(E305*F305,2)</f>
        <v>17123.04</v>
      </c>
      <c r="H305" s="74">
        <f>6187.22+J305</f>
        <v>6187.22</v>
      </c>
      <c r="I305" s="73">
        <f>ROUND(H305*F305,2)-0.01</f>
        <v>17123.04</v>
      </c>
      <c r="J305" s="179"/>
      <c r="K305" s="75">
        <f t="shared" ref="K305:K311" si="106">ROUND(J305*F305,2)</f>
        <v>0</v>
      </c>
      <c r="L305" s="76">
        <f t="shared" ref="L305:L311" si="107">E305-H305</f>
        <v>-3.0999999999039574E-3</v>
      </c>
      <c r="M305" s="73">
        <f t="shared" ref="M305:M311" si="108">ROUND(G305-I305,2)</f>
        <v>0</v>
      </c>
      <c r="N305" s="86">
        <f t="shared" ref="N305:N312" si="109">IF(G305=0,"",I305/G305)</f>
        <v>1</v>
      </c>
      <c r="O305" s="8"/>
      <c r="P305" s="9">
        <f t="shared" si="94"/>
        <v>6187.2199999999993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>
        <v>5443.16</v>
      </c>
      <c r="AG305" s="9"/>
      <c r="AH305" s="9">
        <v>744.06</v>
      </c>
      <c r="AL305" s="205"/>
      <c r="AM305" s="205"/>
      <c r="AN305" s="205"/>
    </row>
    <row r="306" spans="1:40" s="10" customFormat="1" ht="39.950000000000003" customHeight="1" x14ac:dyDescent="0.25">
      <c r="A306" s="53">
        <v>3</v>
      </c>
      <c r="B306" s="53" t="s">
        <v>554</v>
      </c>
      <c r="C306" s="89" t="s">
        <v>555</v>
      </c>
      <c r="D306" s="55" t="s">
        <v>556</v>
      </c>
      <c r="E306" s="56">
        <v>64</v>
      </c>
      <c r="F306" s="73">
        <v>1285.74</v>
      </c>
      <c r="G306" s="73">
        <f t="shared" si="105"/>
        <v>82287.360000000001</v>
      </c>
      <c r="H306" s="74">
        <v>64</v>
      </c>
      <c r="I306" s="73">
        <f t="shared" ref="I306:I311" si="110">ROUND(H306*F306,2)</f>
        <v>82287.360000000001</v>
      </c>
      <c r="J306" s="180"/>
      <c r="K306" s="75">
        <f t="shared" si="106"/>
        <v>0</v>
      </c>
      <c r="L306" s="76">
        <f t="shared" si="107"/>
        <v>0</v>
      </c>
      <c r="M306" s="73">
        <f t="shared" si="108"/>
        <v>0</v>
      </c>
      <c r="N306" s="86">
        <f t="shared" si="109"/>
        <v>1</v>
      </c>
      <c r="O306" s="8"/>
      <c r="P306" s="9">
        <f t="shared" si="94"/>
        <v>64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>
        <v>64</v>
      </c>
      <c r="AG306" s="9"/>
      <c r="AH306" s="9"/>
      <c r="AL306" s="206"/>
      <c r="AM306" s="206"/>
      <c r="AN306" s="206"/>
    </row>
    <row r="307" spans="1:40" s="10" customFormat="1" ht="39.950000000000003" customHeight="1" x14ac:dyDescent="0.25">
      <c r="A307" s="53">
        <v>3</v>
      </c>
      <c r="B307" s="53" t="s">
        <v>557</v>
      </c>
      <c r="C307" s="89" t="s">
        <v>558</v>
      </c>
      <c r="D307" s="55" t="s">
        <v>556</v>
      </c>
      <c r="E307" s="56">
        <v>46</v>
      </c>
      <c r="F307" s="73">
        <v>1001.13</v>
      </c>
      <c r="G307" s="73">
        <f t="shared" si="105"/>
        <v>46051.98</v>
      </c>
      <c r="H307" s="74">
        <v>46</v>
      </c>
      <c r="I307" s="73">
        <f t="shared" si="110"/>
        <v>46051.98</v>
      </c>
      <c r="J307" s="180"/>
      <c r="K307" s="75">
        <f t="shared" si="106"/>
        <v>0</v>
      </c>
      <c r="L307" s="76">
        <f t="shared" si="107"/>
        <v>0</v>
      </c>
      <c r="M307" s="73">
        <f t="shared" si="108"/>
        <v>0</v>
      </c>
      <c r="N307" s="86">
        <f t="shared" si="109"/>
        <v>1</v>
      </c>
      <c r="O307" s="8"/>
      <c r="P307" s="9">
        <f t="shared" si="94"/>
        <v>46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>
        <v>46</v>
      </c>
      <c r="AG307" s="9"/>
      <c r="AH307" s="9"/>
      <c r="AL307" s="206"/>
      <c r="AM307" s="206"/>
      <c r="AN307" s="206"/>
    </row>
    <row r="308" spans="1:40" s="10" customFormat="1" ht="39.950000000000003" customHeight="1" x14ac:dyDescent="0.25">
      <c r="A308" s="53">
        <v>3</v>
      </c>
      <c r="B308" s="53" t="s">
        <v>559</v>
      </c>
      <c r="C308" s="89" t="s">
        <v>560</v>
      </c>
      <c r="D308" s="55" t="s">
        <v>71</v>
      </c>
      <c r="E308" s="56">
        <v>8.7100000000000009</v>
      </c>
      <c r="F308" s="73">
        <v>444.27</v>
      </c>
      <c r="G308" s="73">
        <f t="shared" si="105"/>
        <v>3869.59</v>
      </c>
      <c r="H308" s="74">
        <f>P308+J308</f>
        <v>8.7100000000000009</v>
      </c>
      <c r="I308" s="73">
        <f t="shared" si="110"/>
        <v>3869.59</v>
      </c>
      <c r="J308" s="180"/>
      <c r="K308" s="75">
        <f t="shared" si="106"/>
        <v>0</v>
      </c>
      <c r="L308" s="76">
        <f t="shared" si="107"/>
        <v>0</v>
      </c>
      <c r="M308" s="73">
        <f t="shared" si="108"/>
        <v>0</v>
      </c>
      <c r="N308" s="86">
        <f t="shared" si="109"/>
        <v>1</v>
      </c>
      <c r="O308" s="8"/>
      <c r="P308" s="9">
        <f t="shared" si="94"/>
        <v>8.7100000000000009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0">
        <v>8.7100000000000009</v>
      </c>
      <c r="AL308" s="206"/>
      <c r="AM308" s="206"/>
      <c r="AN308" s="206"/>
    </row>
    <row r="309" spans="1:40" s="10" customFormat="1" ht="39.950000000000003" customHeight="1" x14ac:dyDescent="0.25">
      <c r="A309" s="53">
        <v>3</v>
      </c>
      <c r="B309" s="53" t="s">
        <v>561</v>
      </c>
      <c r="C309" s="89" t="s">
        <v>106</v>
      </c>
      <c r="D309" s="55" t="s">
        <v>107</v>
      </c>
      <c r="E309" s="56">
        <v>33970.707425000001</v>
      </c>
      <c r="F309" s="73">
        <v>2.9</v>
      </c>
      <c r="G309" s="73">
        <f t="shared" si="105"/>
        <v>98515.05</v>
      </c>
      <c r="H309" s="74">
        <v>33970.71</v>
      </c>
      <c r="I309" s="73">
        <f>ROUND(H309*F309,2)-0.01</f>
        <v>98515.05</v>
      </c>
      <c r="J309" s="179"/>
      <c r="K309" s="75">
        <f t="shared" si="106"/>
        <v>0</v>
      </c>
      <c r="L309" s="76">
        <f t="shared" si="107"/>
        <v>-2.5749999986146577E-3</v>
      </c>
      <c r="M309" s="73">
        <f t="shared" si="108"/>
        <v>0</v>
      </c>
      <c r="N309" s="86">
        <f t="shared" si="109"/>
        <v>1</v>
      </c>
      <c r="O309" s="8"/>
      <c r="P309" s="9">
        <f t="shared" si="94"/>
        <v>33970.71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>
        <v>31527.17</v>
      </c>
      <c r="AG309" s="9"/>
      <c r="AH309" s="9">
        <v>2443.54</v>
      </c>
      <c r="AL309" s="205"/>
      <c r="AM309" s="205"/>
      <c r="AN309" s="205"/>
    </row>
    <row r="310" spans="1:40" s="10" customFormat="1" ht="39.950000000000003" customHeight="1" x14ac:dyDescent="0.25">
      <c r="A310" s="53">
        <v>3</v>
      </c>
      <c r="B310" s="53" t="s">
        <v>562</v>
      </c>
      <c r="C310" s="89" t="s">
        <v>563</v>
      </c>
      <c r="D310" s="55" t="s">
        <v>45</v>
      </c>
      <c r="E310" s="56">
        <v>64.180000000000007</v>
      </c>
      <c r="F310" s="73">
        <v>354.21</v>
      </c>
      <c r="G310" s="73">
        <f t="shared" si="105"/>
        <v>22733.200000000001</v>
      </c>
      <c r="H310" s="74">
        <v>64.180000000000007</v>
      </c>
      <c r="I310" s="73">
        <f t="shared" si="110"/>
        <v>22733.200000000001</v>
      </c>
      <c r="J310" s="97"/>
      <c r="K310" s="75">
        <f t="shared" si="106"/>
        <v>0</v>
      </c>
      <c r="L310" s="76">
        <f t="shared" si="107"/>
        <v>0</v>
      </c>
      <c r="M310" s="73">
        <f t="shared" si="108"/>
        <v>0</v>
      </c>
      <c r="N310" s="86">
        <f t="shared" si="109"/>
        <v>1</v>
      </c>
      <c r="O310" s="8"/>
      <c r="P310" s="9">
        <f t="shared" si="94"/>
        <v>64.180000000000007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>
        <v>64.180000000000007</v>
      </c>
      <c r="AG310" s="9"/>
      <c r="AH310" s="9"/>
      <c r="AL310" s="219"/>
      <c r="AM310" s="219"/>
      <c r="AN310" s="219"/>
    </row>
    <row r="311" spans="1:40" s="10" customFormat="1" ht="39.950000000000003" customHeight="1" x14ac:dyDescent="0.25">
      <c r="A311" s="53">
        <v>3</v>
      </c>
      <c r="B311" s="53" t="s">
        <v>564</v>
      </c>
      <c r="C311" s="89" t="s">
        <v>565</v>
      </c>
      <c r="D311" s="55" t="s">
        <v>566</v>
      </c>
      <c r="E311" s="56">
        <v>2</v>
      </c>
      <c r="F311" s="73">
        <v>5250.1</v>
      </c>
      <c r="G311" s="73">
        <f t="shared" si="105"/>
        <v>10500.2</v>
      </c>
      <c r="H311" s="74">
        <v>2</v>
      </c>
      <c r="I311" s="73">
        <f t="shared" si="110"/>
        <v>10500.2</v>
      </c>
      <c r="J311" s="97"/>
      <c r="K311" s="75">
        <f t="shared" si="106"/>
        <v>0</v>
      </c>
      <c r="L311" s="76">
        <f t="shared" si="107"/>
        <v>0</v>
      </c>
      <c r="M311" s="73">
        <f t="shared" si="108"/>
        <v>0</v>
      </c>
      <c r="N311" s="86">
        <f t="shared" si="109"/>
        <v>1</v>
      </c>
      <c r="O311" s="8"/>
      <c r="P311" s="9">
        <f t="shared" si="94"/>
        <v>2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>
        <v>2</v>
      </c>
      <c r="AG311" s="9"/>
      <c r="AH311" s="9"/>
      <c r="AL311" s="219"/>
      <c r="AM311" s="219"/>
      <c r="AN311" s="219"/>
    </row>
    <row r="312" spans="1:40" s="10" customFormat="1" ht="39.950000000000003" customHeight="1" x14ac:dyDescent="0.25">
      <c r="A312" s="274" t="s">
        <v>567</v>
      </c>
      <c r="B312" s="274"/>
      <c r="C312" s="274"/>
      <c r="D312" s="274"/>
      <c r="E312" s="274"/>
      <c r="F312" s="274"/>
      <c r="G312" s="79">
        <f>SUM(G305:G311)</f>
        <v>281080.42000000004</v>
      </c>
      <c r="H312" s="80"/>
      <c r="I312" s="79">
        <f>SUM(I305:I311)</f>
        <v>281080.42000000004</v>
      </c>
      <c r="J312" s="81"/>
      <c r="K312" s="79">
        <f>SUM(K305:K311)</f>
        <v>0</v>
      </c>
      <c r="L312" s="82"/>
      <c r="M312" s="79">
        <f>SUM(M305:M311)</f>
        <v>0</v>
      </c>
      <c r="N312" s="93">
        <f t="shared" si="109"/>
        <v>1</v>
      </c>
      <c r="O312" s="8"/>
      <c r="P312" s="9">
        <f t="shared" si="94"/>
        <v>0</v>
      </c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L312" s="215"/>
      <c r="AM312" s="215"/>
      <c r="AN312" s="215"/>
    </row>
    <row r="313" spans="1:40" s="10" customFormat="1" ht="39.950000000000003" customHeight="1" x14ac:dyDescent="0.25">
      <c r="A313" s="68"/>
      <c r="B313" s="68" t="s">
        <v>568</v>
      </c>
      <c r="C313" s="83" t="s">
        <v>569</v>
      </c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221"/>
      <c r="O313" s="8"/>
      <c r="P313" s="9">
        <f t="shared" si="94"/>
        <v>0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L313" s="203"/>
      <c r="AM313" s="203"/>
      <c r="AN313" s="203"/>
    </row>
    <row r="314" spans="1:40" s="10" customFormat="1" ht="39.950000000000003" customHeight="1" x14ac:dyDescent="0.25">
      <c r="A314" s="53">
        <v>3</v>
      </c>
      <c r="B314" s="53" t="s">
        <v>570</v>
      </c>
      <c r="C314" s="89" t="s">
        <v>571</v>
      </c>
      <c r="D314" s="55" t="s">
        <v>107</v>
      </c>
      <c r="E314" s="56">
        <v>9854.24</v>
      </c>
      <c r="F314" s="73">
        <v>2.7674862444444401</v>
      </c>
      <c r="G314" s="73">
        <f>ROUND(E314*F314,2)</f>
        <v>27271.47</v>
      </c>
      <c r="H314" s="74">
        <f>P314+J314</f>
        <v>4947.83</v>
      </c>
      <c r="I314" s="73">
        <f>ROUND(H314*F314,2)</f>
        <v>13693.05</v>
      </c>
      <c r="J314" s="180"/>
      <c r="K314" s="75">
        <f>ROUND(J314*F314,2)</f>
        <v>0</v>
      </c>
      <c r="L314" s="76">
        <f>E314-H314</f>
        <v>4906.41</v>
      </c>
      <c r="M314" s="73">
        <f>ROUND(G314-I314,2)</f>
        <v>13578.42</v>
      </c>
      <c r="N314" s="86">
        <f>IF(G314=0,"",I314/G314)</f>
        <v>0.5021016468859214</v>
      </c>
      <c r="O314" s="8"/>
      <c r="P314" s="9">
        <f t="shared" si="94"/>
        <v>4947.83</v>
      </c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>
        <v>4153.1000000000004</v>
      </c>
      <c r="AG314" s="9"/>
      <c r="AH314" s="9"/>
      <c r="AI314" s="10">
        <v>794.73</v>
      </c>
      <c r="AL314" s="206"/>
      <c r="AM314" s="206"/>
      <c r="AN314" s="206"/>
    </row>
    <row r="315" spans="1:40" s="10" customFormat="1" ht="39.950000000000003" customHeight="1" x14ac:dyDescent="0.25">
      <c r="A315" s="53">
        <v>3</v>
      </c>
      <c r="B315" s="53" t="s">
        <v>572</v>
      </c>
      <c r="C315" s="89" t="s">
        <v>106</v>
      </c>
      <c r="D315" s="55" t="s">
        <v>107</v>
      </c>
      <c r="E315" s="56">
        <v>20554.36</v>
      </c>
      <c r="F315" s="73">
        <v>2.9</v>
      </c>
      <c r="G315" s="73">
        <f>ROUND(E315*F315,2)</f>
        <v>59607.64</v>
      </c>
      <c r="H315" s="74">
        <v>15894.18</v>
      </c>
      <c r="I315" s="73">
        <f>ROUND(H315*F315,2)</f>
        <v>46093.120000000003</v>
      </c>
      <c r="J315" s="184">
        <v>4660.18</v>
      </c>
      <c r="K315" s="75">
        <f>ROUND(J315*F315,2)</f>
        <v>13514.52</v>
      </c>
      <c r="L315" s="76">
        <f>E315-H315</f>
        <v>4660.18</v>
      </c>
      <c r="M315" s="73">
        <f>ROUND(G315-I315,2)</f>
        <v>13514.52</v>
      </c>
      <c r="N315" s="86">
        <f>IF(G315=0,"",I315/G315)</f>
        <v>0.77327537208317598</v>
      </c>
      <c r="O315" s="8"/>
      <c r="P315" s="9">
        <f t="shared" si="94"/>
        <v>15894.18</v>
      </c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>
        <v>15894.18</v>
      </c>
      <c r="AG315" s="9"/>
      <c r="AH315" s="9"/>
      <c r="AL315" s="219"/>
      <c r="AM315" s="219"/>
      <c r="AN315" s="219"/>
    </row>
    <row r="316" spans="1:40" s="10" customFormat="1" ht="39.950000000000003" customHeight="1" x14ac:dyDescent="0.25">
      <c r="A316" s="53">
        <v>3</v>
      </c>
      <c r="B316" s="53" t="s">
        <v>573</v>
      </c>
      <c r="C316" s="89" t="s">
        <v>241</v>
      </c>
      <c r="D316" s="55" t="s">
        <v>93</v>
      </c>
      <c r="E316" s="56">
        <v>3754.3</v>
      </c>
      <c r="F316" s="73">
        <v>9.43</v>
      </c>
      <c r="G316" s="73">
        <f>ROUND(E316*F316,2)</f>
        <v>35403.050000000003</v>
      </c>
      <c r="H316" s="74">
        <v>2771.4</v>
      </c>
      <c r="I316" s="73">
        <f>ROUND(H316*F316,2)</f>
        <v>26134.3</v>
      </c>
      <c r="J316" s="184">
        <v>982.9</v>
      </c>
      <c r="K316" s="75">
        <f>ROUND(J316*F316,2)</f>
        <v>9268.75</v>
      </c>
      <c r="L316" s="76">
        <f>E316-H316</f>
        <v>982.90000000000009</v>
      </c>
      <c r="M316" s="73">
        <f>ROUND(G316-I316,2)</f>
        <v>9268.75</v>
      </c>
      <c r="N316" s="86">
        <f>IF(G316=0,"",I316/G316)</f>
        <v>0.73819346073290293</v>
      </c>
      <c r="O316" s="8"/>
      <c r="P316" s="9">
        <f t="shared" si="94"/>
        <v>2771.4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>
        <v>2771.4</v>
      </c>
      <c r="AG316" s="9"/>
      <c r="AH316" s="9"/>
      <c r="AL316" s="219"/>
      <c r="AM316" s="219"/>
      <c r="AN316" s="219"/>
    </row>
    <row r="317" spans="1:40" s="10" customFormat="1" ht="39.950000000000003" customHeight="1" x14ac:dyDescent="0.25">
      <c r="A317" s="274" t="s">
        <v>574</v>
      </c>
      <c r="B317" s="274"/>
      <c r="C317" s="274"/>
      <c r="D317" s="274"/>
      <c r="E317" s="274"/>
      <c r="F317" s="274"/>
      <c r="G317" s="79">
        <f>SUM(G314:G316)</f>
        <v>122282.16</v>
      </c>
      <c r="H317" s="80"/>
      <c r="I317" s="79">
        <f>SUM(I314:I316)</f>
        <v>85920.47</v>
      </c>
      <c r="J317" s="97"/>
      <c r="K317" s="79">
        <f>SUM(K314:K316)</f>
        <v>22783.27</v>
      </c>
      <c r="L317" s="82"/>
      <c r="M317" s="79">
        <f>SUM(M314:M316)</f>
        <v>36361.69</v>
      </c>
      <c r="N317" s="93">
        <f>IF(G317=0,"",I317/G317)</f>
        <v>0.70264108844658946</v>
      </c>
      <c r="O317" s="8"/>
      <c r="P317" s="9">
        <f t="shared" si="94"/>
        <v>0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L317" s="219"/>
      <c r="AM317" s="219"/>
      <c r="AN317" s="219"/>
    </row>
    <row r="318" spans="1:40" s="10" customFormat="1" ht="64.5" customHeight="1" x14ac:dyDescent="0.25">
      <c r="A318" s="68"/>
      <c r="B318" s="68" t="s">
        <v>575</v>
      </c>
      <c r="C318" s="83" t="s">
        <v>576</v>
      </c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221"/>
      <c r="O318" s="8"/>
      <c r="P318" s="9">
        <f t="shared" si="94"/>
        <v>0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L318" s="203"/>
      <c r="AM318" s="203"/>
      <c r="AN318" s="203"/>
    </row>
    <row r="319" spans="1:40" s="10" customFormat="1" ht="39.950000000000003" customHeight="1" x14ac:dyDescent="0.25">
      <c r="A319" s="53">
        <v>3</v>
      </c>
      <c r="B319" s="53" t="s">
        <v>577</v>
      </c>
      <c r="C319" s="89" t="s">
        <v>578</v>
      </c>
      <c r="D319" s="55" t="s">
        <v>497</v>
      </c>
      <c r="E319" s="56">
        <v>119</v>
      </c>
      <c r="F319" s="73">
        <v>27.23</v>
      </c>
      <c r="G319" s="73">
        <f>ROUND(E319*F319,2)</f>
        <v>3240.37</v>
      </c>
      <c r="H319" s="74">
        <f>P319+J319</f>
        <v>49</v>
      </c>
      <c r="I319" s="73">
        <f>H319*F319</f>
        <v>1334.27</v>
      </c>
      <c r="J319" s="81"/>
      <c r="K319" s="75">
        <f>ROUND(J319*F319,2)</f>
        <v>0</v>
      </c>
      <c r="L319" s="76">
        <f>E319-H319</f>
        <v>70</v>
      </c>
      <c r="M319" s="73">
        <f>ROUND(G319-I319,2)</f>
        <v>1906.1</v>
      </c>
      <c r="N319" s="86">
        <f>IF(G319=0,"",I319/G319)</f>
        <v>0.41176470588235298</v>
      </c>
      <c r="O319" s="8"/>
      <c r="P319" s="9">
        <f t="shared" si="94"/>
        <v>49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J319" s="10">
        <v>49</v>
      </c>
      <c r="AL319" s="215"/>
      <c r="AM319" s="215"/>
      <c r="AN319" s="215"/>
    </row>
    <row r="320" spans="1:40" s="10" customFormat="1" ht="39.950000000000003" customHeight="1" x14ac:dyDescent="0.25">
      <c r="A320" s="53">
        <v>3</v>
      </c>
      <c r="B320" s="53" t="s">
        <v>579</v>
      </c>
      <c r="C320" s="89" t="s">
        <v>580</v>
      </c>
      <c r="D320" s="55" t="s">
        <v>487</v>
      </c>
      <c r="E320" s="56">
        <v>50</v>
      </c>
      <c r="F320" s="73">
        <v>40.15</v>
      </c>
      <c r="G320" s="73">
        <f>ROUND(E320*F320,2)</f>
        <v>2007.5</v>
      </c>
      <c r="H320" s="74">
        <f>P320+J320</f>
        <v>0</v>
      </c>
      <c r="I320" s="73">
        <f>H320*F320</f>
        <v>0</v>
      </c>
      <c r="J320" s="81"/>
      <c r="K320" s="75">
        <f>ROUND(J320*F320,2)</f>
        <v>0</v>
      </c>
      <c r="L320" s="76">
        <f>E320-H320</f>
        <v>50</v>
      </c>
      <c r="M320" s="73">
        <f>ROUND(G320-I320,2)</f>
        <v>2007.5</v>
      </c>
      <c r="N320" s="86">
        <f>IF(G320=0,"",I320/G320)</f>
        <v>0</v>
      </c>
      <c r="O320" s="8"/>
      <c r="P320" s="9">
        <f t="shared" si="94"/>
        <v>0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L320" s="215"/>
      <c r="AM320" s="215"/>
      <c r="AN320" s="215"/>
    </row>
    <row r="321" spans="1:40" s="10" customFormat="1" ht="39.950000000000003" customHeight="1" x14ac:dyDescent="0.25">
      <c r="A321" s="53">
        <v>3</v>
      </c>
      <c r="B321" s="53" t="s">
        <v>581</v>
      </c>
      <c r="C321" s="89" t="s">
        <v>582</v>
      </c>
      <c r="D321" s="55" t="s">
        <v>487</v>
      </c>
      <c r="E321" s="56">
        <v>50</v>
      </c>
      <c r="F321" s="73">
        <v>48.58</v>
      </c>
      <c r="G321" s="73">
        <f>ROUND(E321*F321,2)</f>
        <v>2429</v>
      </c>
      <c r="H321" s="74">
        <f>P321+J321</f>
        <v>0</v>
      </c>
      <c r="I321" s="73">
        <f>H321*F321</f>
        <v>0</v>
      </c>
      <c r="J321" s="81"/>
      <c r="K321" s="75">
        <f>ROUND(J321*F321,2)</f>
        <v>0</v>
      </c>
      <c r="L321" s="76">
        <f>E321-H321</f>
        <v>50</v>
      </c>
      <c r="M321" s="73">
        <f>ROUND(G321-I321,2)</f>
        <v>2429</v>
      </c>
      <c r="N321" s="86">
        <f>IF(G321=0,"",I321/G321)</f>
        <v>0</v>
      </c>
      <c r="O321" s="8"/>
      <c r="P321" s="9">
        <f t="shared" si="94"/>
        <v>0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L321" s="215"/>
      <c r="AM321" s="215"/>
      <c r="AN321" s="215"/>
    </row>
    <row r="322" spans="1:40" s="10" customFormat="1" ht="39.950000000000003" customHeight="1" x14ac:dyDescent="0.25">
      <c r="A322" s="53">
        <v>3</v>
      </c>
      <c r="B322" s="53" t="s">
        <v>583</v>
      </c>
      <c r="C322" s="89" t="s">
        <v>584</v>
      </c>
      <c r="D322" s="55" t="s">
        <v>497</v>
      </c>
      <c r="E322" s="56">
        <v>119</v>
      </c>
      <c r="F322" s="73">
        <v>39.39</v>
      </c>
      <c r="G322" s="73">
        <f>ROUND(E322*F322,2)</f>
        <v>4687.41</v>
      </c>
      <c r="H322" s="74">
        <f>P322+J322</f>
        <v>0</v>
      </c>
      <c r="I322" s="73">
        <f>H322*F322</f>
        <v>0</v>
      </c>
      <c r="J322" s="81"/>
      <c r="K322" s="75">
        <f>ROUND(J322*F322,2)</f>
        <v>0</v>
      </c>
      <c r="L322" s="76">
        <f>E322-H322</f>
        <v>119</v>
      </c>
      <c r="M322" s="73">
        <f>ROUND(G322-I322,2)</f>
        <v>4687.41</v>
      </c>
      <c r="N322" s="86">
        <f>IF(G322=0,"",I322/G322)</f>
        <v>0</v>
      </c>
      <c r="O322" s="8"/>
      <c r="P322" s="9">
        <f t="shared" si="94"/>
        <v>0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L322" s="215"/>
      <c r="AM322" s="215"/>
      <c r="AN322" s="215"/>
    </row>
    <row r="323" spans="1:40" s="10" customFormat="1" ht="39.950000000000003" customHeight="1" x14ac:dyDescent="0.25">
      <c r="A323" s="275" t="s">
        <v>585</v>
      </c>
      <c r="B323" s="275"/>
      <c r="C323" s="275"/>
      <c r="D323" s="275"/>
      <c r="E323" s="275"/>
      <c r="F323" s="275"/>
      <c r="G323" s="79">
        <f>SUM(G319:G322)</f>
        <v>12364.279999999999</v>
      </c>
      <c r="H323" s="80"/>
      <c r="I323" s="79">
        <f>SUM(I319:I322)</f>
        <v>1334.27</v>
      </c>
      <c r="J323" s="81"/>
      <c r="K323" s="79">
        <f>SUM(K319:K322)</f>
        <v>0</v>
      </c>
      <c r="L323" s="82"/>
      <c r="M323" s="79">
        <f>SUM(M319:M322)</f>
        <v>11030.01</v>
      </c>
      <c r="N323" s="93">
        <f>IF(G323=0,"",I323/G323)</f>
        <v>0.10791327922046412</v>
      </c>
      <c r="O323" s="8"/>
      <c r="P323" s="9">
        <f t="shared" si="94"/>
        <v>0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L323" s="215"/>
      <c r="AM323" s="215"/>
      <c r="AN323" s="215"/>
    </row>
    <row r="324" spans="1:40" s="10" customFormat="1" ht="39.950000000000003" customHeight="1" x14ac:dyDescent="0.25">
      <c r="A324" s="68"/>
      <c r="B324" s="68" t="s">
        <v>586</v>
      </c>
      <c r="C324" s="83" t="s">
        <v>587</v>
      </c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221"/>
      <c r="O324" s="8"/>
      <c r="P324" s="9">
        <f t="shared" si="94"/>
        <v>0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L324" s="203"/>
      <c r="AM324" s="203"/>
      <c r="AN324" s="203"/>
    </row>
    <row r="325" spans="1:40" s="10" customFormat="1" ht="72" x14ac:dyDescent="0.25">
      <c r="A325" s="53">
        <v>3</v>
      </c>
      <c r="B325" s="53" t="s">
        <v>588</v>
      </c>
      <c r="C325" s="89" t="s">
        <v>589</v>
      </c>
      <c r="D325" s="55" t="s">
        <v>590</v>
      </c>
      <c r="E325" s="56">
        <v>5</v>
      </c>
      <c r="F325" s="73">
        <v>4772.5726786969799</v>
      </c>
      <c r="G325" s="73">
        <f>ROUND(E325*F325,2)</f>
        <v>23862.86</v>
      </c>
      <c r="H325" s="74">
        <f>P325+J325</f>
        <v>5</v>
      </c>
      <c r="I325" s="73">
        <f>H325*F325</f>
        <v>23862.863393484899</v>
      </c>
      <c r="J325" s="81"/>
      <c r="K325" s="75">
        <f>ROUND(J325*F325,2)</f>
        <v>0</v>
      </c>
      <c r="L325" s="76">
        <f>E325-H325</f>
        <v>0</v>
      </c>
      <c r="M325" s="73">
        <f>ROUND(G325-I325,2)</f>
        <v>0</v>
      </c>
      <c r="N325" s="86">
        <f>IF(G325=0,"",I325/G325)</f>
        <v>1.0000001422078031</v>
      </c>
      <c r="O325" s="8"/>
      <c r="P325" s="9">
        <f t="shared" si="94"/>
        <v>5</v>
      </c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>
        <v>5</v>
      </c>
      <c r="AH325" s="9"/>
      <c r="AL325" s="215"/>
      <c r="AM325" s="215"/>
      <c r="AN325" s="215"/>
    </row>
    <row r="326" spans="1:40" s="10" customFormat="1" ht="72" x14ac:dyDescent="0.25">
      <c r="A326" s="53">
        <v>3</v>
      </c>
      <c r="B326" s="53" t="s">
        <v>591</v>
      </c>
      <c r="C326" s="89" t="s">
        <v>592</v>
      </c>
      <c r="D326" s="55" t="s">
        <v>590</v>
      </c>
      <c r="E326" s="56">
        <v>22</v>
      </c>
      <c r="F326" s="73">
        <v>6687.72</v>
      </c>
      <c r="G326" s="73">
        <f>ROUND(E326*F326,2)</f>
        <v>147129.84</v>
      </c>
      <c r="H326" s="74">
        <f>P326+J326</f>
        <v>22</v>
      </c>
      <c r="I326" s="73">
        <f>H326*F326</f>
        <v>147129.84</v>
      </c>
      <c r="J326" s="181"/>
      <c r="K326" s="75">
        <f>ROUND(J326*F326,2)</f>
        <v>0</v>
      </c>
      <c r="L326" s="76">
        <f>E326-H326</f>
        <v>0</v>
      </c>
      <c r="M326" s="73">
        <f>ROUND(G326-I326,2)</f>
        <v>0</v>
      </c>
      <c r="N326" s="86">
        <f>IF(G326=0,"",I326/G326)</f>
        <v>1</v>
      </c>
      <c r="O326" s="8"/>
      <c r="P326" s="9">
        <f t="shared" si="94"/>
        <v>22</v>
      </c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10">
        <v>22</v>
      </c>
      <c r="AL326" s="202"/>
      <c r="AM326" s="202"/>
      <c r="AN326" s="202"/>
    </row>
    <row r="327" spans="1:40" s="10" customFormat="1" ht="54" x14ac:dyDescent="0.25">
      <c r="A327" s="53">
        <v>3</v>
      </c>
      <c r="B327" s="53" t="s">
        <v>593</v>
      </c>
      <c r="C327" s="89" t="s">
        <v>594</v>
      </c>
      <c r="D327" s="55" t="s">
        <v>590</v>
      </c>
      <c r="E327" s="56">
        <v>1</v>
      </c>
      <c r="F327" s="73">
        <v>2642.25</v>
      </c>
      <c r="G327" s="73">
        <f>ROUND(E327*F327,2)</f>
        <v>2642.25</v>
      </c>
      <c r="H327" s="74">
        <f>P327+J327</f>
        <v>1</v>
      </c>
      <c r="I327" s="73">
        <f>H327*F327</f>
        <v>2642.25</v>
      </c>
      <c r="J327" s="81"/>
      <c r="K327" s="75">
        <f>ROUND(J327*F327,2)</f>
        <v>0</v>
      </c>
      <c r="L327" s="76">
        <f>E327-H327</f>
        <v>0</v>
      </c>
      <c r="M327" s="73">
        <f>ROUND(G327-I327,2)</f>
        <v>0</v>
      </c>
      <c r="N327" s="86">
        <f>IF(G327=0,"",I327/G327)</f>
        <v>1</v>
      </c>
      <c r="O327" s="8"/>
      <c r="P327" s="9">
        <f t="shared" si="94"/>
        <v>1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>
        <v>1</v>
      </c>
      <c r="AH327" s="9"/>
      <c r="AL327" s="215"/>
      <c r="AM327" s="215"/>
      <c r="AN327" s="215"/>
    </row>
    <row r="328" spans="1:40" s="10" customFormat="1" ht="39.950000000000003" customHeight="1" x14ac:dyDescent="0.25">
      <c r="A328" s="275" t="s">
        <v>66</v>
      </c>
      <c r="B328" s="275"/>
      <c r="C328" s="275"/>
      <c r="D328" s="275"/>
      <c r="E328" s="275"/>
      <c r="F328" s="275"/>
      <c r="G328" s="79">
        <f>SUM(G325:G327)</f>
        <v>173634.95</v>
      </c>
      <c r="H328" s="80"/>
      <c r="I328" s="79">
        <f>SUM(I325:I327)</f>
        <v>173634.9533934849</v>
      </c>
      <c r="J328" s="81"/>
      <c r="K328" s="79">
        <f>SUM(K325:K327)</f>
        <v>0</v>
      </c>
      <c r="L328" s="82"/>
      <c r="M328" s="79">
        <f>SUM(M325:M327)</f>
        <v>0</v>
      </c>
      <c r="N328" s="93">
        <f>IF(G328=0,"",I328/G328)</f>
        <v>1.0000000195437895</v>
      </c>
      <c r="O328" s="8"/>
      <c r="P328" s="9">
        <f t="shared" si="94"/>
        <v>0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L328" s="215"/>
    </row>
    <row r="329" spans="1:40" s="10" customFormat="1" ht="39.950000000000003" customHeight="1" x14ac:dyDescent="0.25">
      <c r="A329" s="68">
        <v>4</v>
      </c>
      <c r="B329" s="68"/>
      <c r="C329" s="83" t="s">
        <v>636</v>
      </c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221"/>
      <c r="O329" s="8"/>
      <c r="P329" s="9">
        <f t="shared" ref="P329:P332" si="111">SUM(Q329:AX329)</f>
        <v>0</v>
      </c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L329" s="203"/>
      <c r="AM329" s="203"/>
    </row>
    <row r="330" spans="1:40" s="10" customFormat="1" ht="39.950000000000003" customHeight="1" x14ac:dyDescent="0.25">
      <c r="A330" s="68"/>
      <c r="B330" s="68" t="s">
        <v>638</v>
      </c>
      <c r="C330" s="83" t="s">
        <v>637</v>
      </c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221"/>
      <c r="O330" s="8"/>
      <c r="P330" s="9">
        <f t="shared" si="111"/>
        <v>0</v>
      </c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L330" s="203"/>
      <c r="AM330" s="203"/>
    </row>
    <row r="331" spans="1:40" s="10" customFormat="1" ht="39.950000000000003" customHeight="1" x14ac:dyDescent="0.25">
      <c r="A331" s="53">
        <v>4</v>
      </c>
      <c r="B331" s="53" t="s">
        <v>639</v>
      </c>
      <c r="C331" s="89" t="s">
        <v>640</v>
      </c>
      <c r="D331" s="55" t="s">
        <v>497</v>
      </c>
      <c r="E331" s="56">
        <v>265</v>
      </c>
      <c r="F331" s="73">
        <v>43.38</v>
      </c>
      <c r="G331" s="73">
        <f>ROUND(E331*F331,2)</f>
        <v>11495.7</v>
      </c>
      <c r="H331" s="74">
        <f>P331+J331</f>
        <v>265</v>
      </c>
      <c r="I331" s="73">
        <f>H331*F331</f>
        <v>11495.7</v>
      </c>
      <c r="J331" s="81">
        <v>265</v>
      </c>
      <c r="K331" s="75">
        <f>ROUND(J331*F331,2)</f>
        <v>11495.7</v>
      </c>
      <c r="L331" s="76">
        <f>E331-H331</f>
        <v>0</v>
      </c>
      <c r="M331" s="73">
        <f>ROUND(G331-I331,2)</f>
        <v>0</v>
      </c>
      <c r="N331" s="86">
        <f>IF(G331=0,"",I331/G331)</f>
        <v>1</v>
      </c>
      <c r="O331" s="8"/>
      <c r="P331" s="9">
        <f t="shared" si="111"/>
        <v>0</v>
      </c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L331" s="215"/>
      <c r="AM331" s="215"/>
    </row>
    <row r="332" spans="1:40" s="10" customFormat="1" ht="39.950000000000003" customHeight="1" x14ac:dyDescent="0.25">
      <c r="A332" s="275" t="s">
        <v>649</v>
      </c>
      <c r="B332" s="275"/>
      <c r="C332" s="275"/>
      <c r="D332" s="275"/>
      <c r="E332" s="275"/>
      <c r="F332" s="275"/>
      <c r="G332" s="79">
        <f>SUM(G331)</f>
        <v>11495.7</v>
      </c>
      <c r="H332" s="80"/>
      <c r="I332" s="79">
        <f>SUM(I331)</f>
        <v>11495.7</v>
      </c>
      <c r="J332" s="81"/>
      <c r="K332" s="79">
        <f>SUM(K331)</f>
        <v>11495.7</v>
      </c>
      <c r="L332" s="82"/>
      <c r="M332" s="79">
        <f>SUM(M331)</f>
        <v>0</v>
      </c>
      <c r="N332" s="93">
        <f>IF(G332=0,"",I332/G332)</f>
        <v>1</v>
      </c>
      <c r="O332" s="8"/>
      <c r="P332" s="9">
        <f t="shared" si="111"/>
        <v>0</v>
      </c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L332" s="215"/>
    </row>
    <row r="333" spans="1:40" s="10" customFormat="1" ht="39.950000000000003" customHeight="1" x14ac:dyDescent="0.25">
      <c r="A333" s="68"/>
      <c r="B333" s="68" t="s">
        <v>641</v>
      </c>
      <c r="C333" s="83" t="s">
        <v>430</v>
      </c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221"/>
      <c r="O333" s="8"/>
      <c r="P333" s="9">
        <f t="shared" ref="P333:P335" si="112">SUM(Q333:AX333)</f>
        <v>0</v>
      </c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L333" s="203"/>
      <c r="AM333" s="203"/>
    </row>
    <row r="334" spans="1:40" s="10" customFormat="1" ht="97.5" customHeight="1" x14ac:dyDescent="0.25">
      <c r="A334" s="53">
        <v>4</v>
      </c>
      <c r="B334" s="53" t="s">
        <v>642</v>
      </c>
      <c r="C334" s="89" t="s">
        <v>643</v>
      </c>
      <c r="D334" s="55" t="s">
        <v>590</v>
      </c>
      <c r="E334" s="56">
        <v>8</v>
      </c>
      <c r="F334" s="73">
        <v>2149.4499999999998</v>
      </c>
      <c r="G334" s="73">
        <f>ROUND(E334*F334,2)</f>
        <v>17195.599999999999</v>
      </c>
      <c r="H334" s="74">
        <f>P334+J334</f>
        <v>0</v>
      </c>
      <c r="I334" s="73">
        <f>H334*F334</f>
        <v>0</v>
      </c>
      <c r="J334" s="81"/>
      <c r="K334" s="75">
        <f>ROUND(J334*F334,2)</f>
        <v>0</v>
      </c>
      <c r="L334" s="76">
        <f>E334-H334</f>
        <v>8</v>
      </c>
      <c r="M334" s="73">
        <f>ROUND(G334-I334,2)</f>
        <v>17195.599999999999</v>
      </c>
      <c r="N334" s="86">
        <f>IF(G334=0,"",I334/G334)</f>
        <v>0</v>
      </c>
      <c r="O334" s="8"/>
      <c r="P334" s="9">
        <f t="shared" si="112"/>
        <v>0</v>
      </c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L334" s="215"/>
      <c r="AM334" s="215"/>
    </row>
    <row r="335" spans="1:40" s="10" customFormat="1" ht="39.950000000000003" customHeight="1" x14ac:dyDescent="0.25">
      <c r="A335" s="53">
        <v>4</v>
      </c>
      <c r="B335" s="53" t="s">
        <v>644</v>
      </c>
      <c r="C335" s="89" t="s">
        <v>646</v>
      </c>
      <c r="D335" s="55" t="s">
        <v>497</v>
      </c>
      <c r="E335" s="56">
        <v>16301.76</v>
      </c>
      <c r="F335" s="73">
        <v>4.34</v>
      </c>
      <c r="G335" s="73">
        <f>ROUND(E335*F335,2)</f>
        <v>70749.64</v>
      </c>
      <c r="H335" s="74">
        <f>P335+J335</f>
        <v>15901.76</v>
      </c>
      <c r="I335" s="73">
        <f>H335*F335</f>
        <v>69013.638399999996</v>
      </c>
      <c r="J335" s="81">
        <v>15901.76</v>
      </c>
      <c r="K335" s="75">
        <f>ROUND(J335*F335,2)</f>
        <v>69013.64</v>
      </c>
      <c r="L335" s="76">
        <f>E335-H335</f>
        <v>400</v>
      </c>
      <c r="M335" s="73">
        <f>ROUND(G335-I335,2)</f>
        <v>1736</v>
      </c>
      <c r="N335" s="86">
        <f>IF(G335=0,"",I335/G335)</f>
        <v>0.97546275005780947</v>
      </c>
      <c r="O335" s="8"/>
      <c r="P335" s="9">
        <f t="shared" si="112"/>
        <v>0</v>
      </c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L335" s="215"/>
      <c r="AM335" s="215"/>
    </row>
    <row r="336" spans="1:40" s="10" customFormat="1" ht="66" customHeight="1" x14ac:dyDescent="0.25">
      <c r="A336" s="53">
        <v>4</v>
      </c>
      <c r="B336" s="53" t="s">
        <v>645</v>
      </c>
      <c r="C336" s="89" t="s">
        <v>647</v>
      </c>
      <c r="D336" s="55" t="s">
        <v>590</v>
      </c>
      <c r="E336" s="56">
        <v>32</v>
      </c>
      <c r="F336" s="73">
        <v>330.91</v>
      </c>
      <c r="G336" s="73">
        <f>ROUND(E336*F336,2)</f>
        <v>10589.12</v>
      </c>
      <c r="H336" s="74">
        <f>P336+J336</f>
        <v>26</v>
      </c>
      <c r="I336" s="73">
        <f>H336*F336</f>
        <v>8603.66</v>
      </c>
      <c r="J336" s="81">
        <v>26</v>
      </c>
      <c r="K336" s="75">
        <f>ROUND(J336*F336,2)</f>
        <v>8603.66</v>
      </c>
      <c r="L336" s="76">
        <f>E336-H336</f>
        <v>6</v>
      </c>
      <c r="M336" s="73">
        <f>ROUND(G336-I336,2)</f>
        <v>1985.46</v>
      </c>
      <c r="N336" s="86">
        <f>IF(G336=0,"",I336/G336)</f>
        <v>0.81249999999999989</v>
      </c>
      <c r="O336" s="8"/>
      <c r="P336" s="9">
        <f t="shared" ref="P336:P344" si="113">SUM(Q336:AX336)</f>
        <v>0</v>
      </c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L336" s="215"/>
      <c r="AM336" s="215"/>
    </row>
    <row r="337" spans="1:39" s="10" customFormat="1" ht="39.950000000000003" customHeight="1" x14ac:dyDescent="0.25">
      <c r="A337" s="275" t="s">
        <v>648</v>
      </c>
      <c r="B337" s="275"/>
      <c r="C337" s="275"/>
      <c r="D337" s="275"/>
      <c r="E337" s="275"/>
      <c r="F337" s="275"/>
      <c r="G337" s="79">
        <f>SUM(G334:G336)</f>
        <v>98534.359999999986</v>
      </c>
      <c r="H337" s="80"/>
      <c r="I337" s="79">
        <f>SUM(I334:I336)</f>
        <v>77617.2984</v>
      </c>
      <c r="J337" s="81"/>
      <c r="K337" s="79">
        <f>SUM(K334:K336)</f>
        <v>77617.3</v>
      </c>
      <c r="L337" s="82"/>
      <c r="M337" s="79">
        <f>SUM(M334:M336)</f>
        <v>20917.059999999998</v>
      </c>
      <c r="N337" s="93">
        <f>IF(G337=0,"",I337/G337)</f>
        <v>0.7877180954948102</v>
      </c>
      <c r="O337" s="8"/>
      <c r="P337" s="9">
        <f t="shared" si="113"/>
        <v>0</v>
      </c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L337" s="215"/>
    </row>
    <row r="338" spans="1:39" s="10" customFormat="1" ht="39.950000000000003" customHeight="1" x14ac:dyDescent="0.25">
      <c r="A338" s="68"/>
      <c r="B338" s="68" t="s">
        <v>650</v>
      </c>
      <c r="C338" s="83" t="s">
        <v>483</v>
      </c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221"/>
      <c r="O338" s="8"/>
      <c r="P338" s="9">
        <f t="shared" si="113"/>
        <v>0</v>
      </c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L338" s="203"/>
      <c r="AM338" s="203"/>
    </row>
    <row r="339" spans="1:39" s="10" customFormat="1" ht="39.950000000000003" customHeight="1" x14ac:dyDescent="0.25">
      <c r="A339" s="68"/>
      <c r="B339" s="68" t="s">
        <v>651</v>
      </c>
      <c r="C339" s="83" t="s">
        <v>503</v>
      </c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221"/>
      <c r="O339" s="8"/>
      <c r="P339" s="9">
        <f t="shared" si="113"/>
        <v>0</v>
      </c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L339" s="203"/>
      <c r="AM339" s="203"/>
    </row>
    <row r="340" spans="1:39" s="10" customFormat="1" ht="39.950000000000003" customHeight="1" x14ac:dyDescent="0.25">
      <c r="A340" s="53">
        <v>4</v>
      </c>
      <c r="B340" s="53" t="s">
        <v>156</v>
      </c>
      <c r="C340" s="89" t="s">
        <v>640</v>
      </c>
      <c r="D340" s="55" t="s">
        <v>497</v>
      </c>
      <c r="E340" s="56">
        <v>216</v>
      </c>
      <c r="F340" s="73">
        <v>64.58</v>
      </c>
      <c r="G340" s="73">
        <f>ROUND(E340*F340,2)</f>
        <v>13949.28</v>
      </c>
      <c r="H340" s="74">
        <f>P340+J340</f>
        <v>0</v>
      </c>
      <c r="I340" s="73">
        <f>H340*F340</f>
        <v>0</v>
      </c>
      <c r="J340" s="81"/>
      <c r="K340" s="75">
        <f>ROUND(J340*F340,2)</f>
        <v>0</v>
      </c>
      <c r="L340" s="76">
        <f>E340-H340</f>
        <v>216</v>
      </c>
      <c r="M340" s="73">
        <f>ROUND(G340-I340,2)</f>
        <v>13949.28</v>
      </c>
      <c r="N340" s="86">
        <f>IF(G340=0,"",I340/G340)</f>
        <v>0</v>
      </c>
      <c r="O340" s="8"/>
      <c r="P340" s="9">
        <f t="shared" si="113"/>
        <v>0</v>
      </c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L340" s="215"/>
      <c r="AM340" s="215"/>
    </row>
    <row r="341" spans="1:39" s="10" customFormat="1" ht="39.950000000000003" customHeight="1" x14ac:dyDescent="0.25">
      <c r="A341" s="275" t="s">
        <v>652</v>
      </c>
      <c r="B341" s="275"/>
      <c r="C341" s="275"/>
      <c r="D341" s="275"/>
      <c r="E341" s="275"/>
      <c r="F341" s="275"/>
      <c r="G341" s="79">
        <f>SUM(G340)</f>
        <v>13949.28</v>
      </c>
      <c r="H341" s="80"/>
      <c r="I341" s="79">
        <f>SUM(I338:I340)</f>
        <v>0</v>
      </c>
      <c r="J341" s="81"/>
      <c r="K341" s="79">
        <f>SUM(K338:K340)</f>
        <v>0</v>
      </c>
      <c r="L341" s="82"/>
      <c r="M341" s="79">
        <f>SUM(M340)</f>
        <v>13949.28</v>
      </c>
      <c r="N341" s="93">
        <f>IF(G341=0,"",I341/G341)</f>
        <v>0</v>
      </c>
      <c r="O341" s="8"/>
      <c r="P341" s="9">
        <f t="shared" si="113"/>
        <v>0</v>
      </c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L341" s="215"/>
    </row>
    <row r="342" spans="1:39" s="10" customFormat="1" ht="39.950000000000003" customHeight="1" x14ac:dyDescent="0.25">
      <c r="A342" s="68"/>
      <c r="B342" s="68" t="s">
        <v>577</v>
      </c>
      <c r="C342" s="83" t="s">
        <v>653</v>
      </c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221"/>
      <c r="O342" s="8"/>
      <c r="P342" s="9">
        <f t="shared" si="113"/>
        <v>0</v>
      </c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L342" s="203"/>
      <c r="AM342" s="203"/>
    </row>
    <row r="343" spans="1:39" s="10" customFormat="1" ht="39.950000000000003" customHeight="1" x14ac:dyDescent="0.25">
      <c r="A343" s="53">
        <v>4</v>
      </c>
      <c r="B343" s="53" t="s">
        <v>655</v>
      </c>
      <c r="C343" s="89" t="s">
        <v>654</v>
      </c>
      <c r="D343" s="55" t="s">
        <v>656</v>
      </c>
      <c r="E343" s="56">
        <v>216</v>
      </c>
      <c r="F343" s="73">
        <v>506.75</v>
      </c>
      <c r="G343" s="73">
        <f>ROUND(E343*F343,2)</f>
        <v>109458</v>
      </c>
      <c r="H343" s="74">
        <f>P343+J343</f>
        <v>135</v>
      </c>
      <c r="I343" s="73">
        <f>H343*F343</f>
        <v>68411.25</v>
      </c>
      <c r="J343" s="81">
        <v>135</v>
      </c>
      <c r="K343" s="75">
        <f>ROUND(J343*F343,2)</f>
        <v>68411.25</v>
      </c>
      <c r="L343" s="76">
        <f>E343-H343</f>
        <v>81</v>
      </c>
      <c r="M343" s="73">
        <f>ROUND(G343-I343,2)</f>
        <v>41046.75</v>
      </c>
      <c r="N343" s="86">
        <f>IF(G343=0,"",I343/G343)</f>
        <v>0.625</v>
      </c>
      <c r="O343" s="8"/>
      <c r="P343" s="9">
        <f t="shared" si="113"/>
        <v>0</v>
      </c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L343" s="215"/>
      <c r="AM343" s="215"/>
    </row>
    <row r="344" spans="1:39" s="10" customFormat="1" ht="39.950000000000003" customHeight="1" x14ac:dyDescent="0.25">
      <c r="A344" s="275" t="s">
        <v>657</v>
      </c>
      <c r="B344" s="275"/>
      <c r="C344" s="275"/>
      <c r="D344" s="275"/>
      <c r="E344" s="275"/>
      <c r="F344" s="275"/>
      <c r="G344" s="79">
        <f>SUM(G343)</f>
        <v>109458</v>
      </c>
      <c r="H344" s="80"/>
      <c r="I344" s="79">
        <f>SUM(I343)</f>
        <v>68411.25</v>
      </c>
      <c r="J344" s="81"/>
      <c r="K344" s="79">
        <f>SUM(K343)</f>
        <v>68411.25</v>
      </c>
      <c r="L344" s="82"/>
      <c r="M344" s="79">
        <f>SUM(M343)</f>
        <v>41046.75</v>
      </c>
      <c r="N344" s="93">
        <f>IF(G344=0,"",I344/G344)</f>
        <v>0.625</v>
      </c>
      <c r="O344" s="8"/>
      <c r="P344" s="9">
        <f t="shared" si="113"/>
        <v>0</v>
      </c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L344" s="215"/>
    </row>
    <row r="345" spans="1:39" ht="39.950000000000003" customHeight="1" x14ac:dyDescent="0.3">
      <c r="A345" s="43"/>
      <c r="B345" s="133"/>
      <c r="C345" s="43"/>
      <c r="D345" s="134"/>
      <c r="E345" s="135" t="s">
        <v>595</v>
      </c>
      <c r="F345" s="136">
        <f>SUM(G25,G33,G66,G108,G150,G171,G185,G213,G230,G241,G302,G312,G317,G323,G328,G332,G337,G341,G344)</f>
        <v>24383736.5416</v>
      </c>
      <c r="G345" s="76"/>
      <c r="H345" s="137"/>
      <c r="I345" s="136">
        <f>SUM(I25,I33,I66,I108,I150,I171,I185,I213,I230,I241,I302,I312,I317,I323,I328,I332,I337,I341,I344)</f>
        <v>18373483.571793485</v>
      </c>
      <c r="J345" s="138"/>
      <c r="K345" s="139">
        <f>SUM(K25,K33,K66,K108,K150,K171,K185,K213,K230,K241,K302,K312,K317,K323,K328,K332,K337,K344)</f>
        <v>1584909.35</v>
      </c>
      <c r="L345" s="137"/>
      <c r="M345" s="136">
        <f>SUM(M25,M33,M66,M108,M150,M171,M185,M213,M230,M241,M302,M312,M317,M323,M328,M332,M337,M341,M344)</f>
        <v>6010252.9699999997</v>
      </c>
      <c r="N345" s="140">
        <f>I345/F345</f>
        <v>0.75351386529489883</v>
      </c>
      <c r="P345" s="9">
        <f t="shared" si="94"/>
        <v>0</v>
      </c>
      <c r="AL345" s="220"/>
    </row>
    <row r="346" spans="1:39" ht="39.950000000000003" customHeight="1" x14ac:dyDescent="0.3">
      <c r="A346" s="55"/>
      <c r="B346" s="89"/>
      <c r="C346" s="53"/>
      <c r="D346" s="56"/>
      <c r="E346" s="135" t="s">
        <v>596</v>
      </c>
      <c r="F346" s="136">
        <f>F345*0.35</f>
        <v>8534307.7895599995</v>
      </c>
      <c r="G346" s="76"/>
      <c r="H346" s="137"/>
      <c r="I346" s="136">
        <f>I345*0.35</f>
        <v>6430719.2501277197</v>
      </c>
      <c r="J346" s="138"/>
      <c r="K346" s="139">
        <f>K345*0.35</f>
        <v>554718.27249999996</v>
      </c>
      <c r="L346" s="137"/>
      <c r="M346" s="136">
        <f>M345*0.35</f>
        <v>2103588.5395</v>
      </c>
      <c r="N346" s="140">
        <f>I346/F346</f>
        <v>0.75351386529489883</v>
      </c>
      <c r="P346" s="9">
        <f t="shared" si="94"/>
        <v>0</v>
      </c>
      <c r="AL346" s="220"/>
    </row>
    <row r="347" spans="1:39" ht="39.950000000000003" customHeight="1" x14ac:dyDescent="0.3">
      <c r="A347" s="53"/>
      <c r="B347" s="89"/>
      <c r="C347" s="53"/>
      <c r="D347" s="56"/>
      <c r="E347" s="135" t="s">
        <v>597</v>
      </c>
      <c r="F347" s="136">
        <f>F345+F346</f>
        <v>32918044.331160001</v>
      </c>
      <c r="G347" s="76"/>
      <c r="H347" s="137"/>
      <c r="I347" s="136">
        <f>(I345+I346)</f>
        <v>24804202.821921207</v>
      </c>
      <c r="J347" s="138"/>
      <c r="K347" s="139">
        <f>K345+K346</f>
        <v>2139627.6225000001</v>
      </c>
      <c r="L347" s="137"/>
      <c r="M347" s="136">
        <f>(M345+M346)</f>
        <v>8113841.5094999997</v>
      </c>
      <c r="N347" s="140">
        <f>I347/F347</f>
        <v>0.75351386529489883</v>
      </c>
      <c r="P347" s="9">
        <f t="shared" si="94"/>
        <v>0</v>
      </c>
      <c r="AL347" s="220"/>
    </row>
    <row r="348" spans="1:39" ht="39.950000000000003" customHeight="1" x14ac:dyDescent="0.3">
      <c r="A348" s="141"/>
      <c r="B348" s="142"/>
      <c r="C348" s="143"/>
      <c r="D348" s="37"/>
      <c r="E348" s="144"/>
      <c r="F348" s="145"/>
      <c r="G348" s="146"/>
      <c r="H348" s="147"/>
      <c r="I348" s="145"/>
      <c r="J348" s="148"/>
      <c r="K348" s="148"/>
      <c r="L348" s="147"/>
      <c r="M348" s="145"/>
      <c r="N348" s="149"/>
      <c r="P348" s="9">
        <f t="shared" si="94"/>
        <v>0</v>
      </c>
    </row>
    <row r="349" spans="1:39" ht="39.950000000000003" customHeight="1" x14ac:dyDescent="0.3">
      <c r="A349" s="273" t="s">
        <v>598</v>
      </c>
      <c r="B349" s="273"/>
      <c r="C349" s="273"/>
      <c r="D349" s="273"/>
      <c r="E349" s="273"/>
      <c r="F349" s="273"/>
      <c r="G349" s="273"/>
      <c r="H349" s="150"/>
      <c r="I349" s="151"/>
      <c r="J349" s="152">
        <f>K347</f>
        <v>2139627.6225000001</v>
      </c>
      <c r="K349" s="153"/>
      <c r="L349" s="153"/>
      <c r="M349" s="153"/>
      <c r="N349" s="154"/>
      <c r="P349" s="9">
        <f t="shared" si="94"/>
        <v>0</v>
      </c>
    </row>
    <row r="350" spans="1:39" ht="26.25" x14ac:dyDescent="0.4">
      <c r="A350" s="155"/>
      <c r="B350" s="155"/>
      <c r="C350" s="156"/>
      <c r="D350" s="157"/>
      <c r="E350" s="158"/>
      <c r="F350" s="158"/>
      <c r="G350" s="158"/>
      <c r="J350" s="159"/>
      <c r="K350" s="160"/>
      <c r="P350" s="9">
        <f t="shared" si="94"/>
        <v>0</v>
      </c>
    </row>
    <row r="351" spans="1:39" ht="27.75" x14ac:dyDescent="0.25">
      <c r="A351" s="272" t="s">
        <v>599</v>
      </c>
      <c r="B351" s="272"/>
      <c r="C351" s="272"/>
      <c r="D351" s="272"/>
      <c r="E351" s="272"/>
      <c r="F351" s="272"/>
      <c r="G351" s="272"/>
      <c r="H351" s="161"/>
      <c r="I351" s="162"/>
      <c r="J351" s="152">
        <f>(J349*0.02769)</f>
        <v>59246.288867025003</v>
      </c>
      <c r="K351" s="163"/>
      <c r="L351" s="163"/>
      <c r="M351" s="163"/>
      <c r="N351" s="164"/>
      <c r="P351" s="9">
        <f t="shared" si="94"/>
        <v>0</v>
      </c>
    </row>
    <row r="352" spans="1:39" ht="28.5" x14ac:dyDescent="0.45">
      <c r="A352" s="155"/>
      <c r="B352" s="156"/>
      <c r="C352" s="157"/>
      <c r="D352" s="158"/>
      <c r="E352" s="158"/>
      <c r="F352" s="158"/>
      <c r="G352" s="158"/>
      <c r="H352" s="165"/>
      <c r="I352" s="165"/>
      <c r="J352" s="166"/>
      <c r="K352" s="165"/>
      <c r="L352" s="165"/>
      <c r="M352" s="165"/>
      <c r="P352" s="9">
        <f t="shared" ref="P352:P357" si="114">SUM(Q352:AX352)</f>
        <v>0</v>
      </c>
    </row>
    <row r="353" spans="1:16" ht="27.75" x14ac:dyDescent="0.25">
      <c r="A353" s="272" t="s">
        <v>600</v>
      </c>
      <c r="B353" s="272"/>
      <c r="C353" s="272"/>
      <c r="D353" s="272"/>
      <c r="E353" s="272"/>
      <c r="F353" s="272"/>
      <c r="G353" s="272"/>
      <c r="H353" s="161"/>
      <c r="I353" s="162"/>
      <c r="J353" s="152">
        <f>J349+J351</f>
        <v>2198873.9113670252</v>
      </c>
      <c r="K353" s="163"/>
      <c r="L353" s="163"/>
      <c r="M353" s="163"/>
      <c r="N353" s="164"/>
      <c r="P353" s="9">
        <f t="shared" si="114"/>
        <v>0</v>
      </c>
    </row>
    <row r="354" spans="1:16" ht="28.5" x14ac:dyDescent="0.45">
      <c r="A354" s="155"/>
      <c r="B354" s="156"/>
      <c r="C354" s="157"/>
      <c r="D354" s="158"/>
      <c r="E354" s="158"/>
      <c r="F354" s="158"/>
      <c r="G354" s="158"/>
      <c r="H354" s="165"/>
      <c r="I354" s="165"/>
      <c r="J354" s="166"/>
      <c r="K354" s="165"/>
      <c r="L354" s="165"/>
      <c r="M354" s="165"/>
      <c r="P354" s="9">
        <f t="shared" si="114"/>
        <v>0</v>
      </c>
    </row>
    <row r="355" spans="1:16" ht="27.75" x14ac:dyDescent="0.25">
      <c r="A355" s="272" t="s">
        <v>601</v>
      </c>
      <c r="B355" s="272"/>
      <c r="C355" s="272"/>
      <c r="D355" s="272"/>
      <c r="E355" s="272"/>
      <c r="F355" s="272"/>
      <c r="G355" s="272"/>
      <c r="H355" s="161"/>
      <c r="I355" s="162"/>
      <c r="J355" s="152">
        <f>(J353*0.0447)</f>
        <v>98289.663838106018</v>
      </c>
      <c r="K355" s="163"/>
      <c r="L355" s="163"/>
      <c r="M355" s="163"/>
      <c r="N355" s="164"/>
      <c r="P355" s="9">
        <f t="shared" si="114"/>
        <v>0</v>
      </c>
    </row>
    <row r="356" spans="1:16" ht="28.5" x14ac:dyDescent="0.45">
      <c r="A356" s="155"/>
      <c r="B356" s="156"/>
      <c r="C356" s="157"/>
      <c r="D356" s="158"/>
      <c r="E356" s="158"/>
      <c r="F356" s="158"/>
      <c r="G356" s="158"/>
      <c r="H356" s="165"/>
      <c r="I356" s="165"/>
      <c r="J356" s="166"/>
      <c r="K356" s="165"/>
      <c r="L356" s="165"/>
      <c r="M356" s="165"/>
      <c r="P356" s="9">
        <f t="shared" si="114"/>
        <v>0</v>
      </c>
    </row>
    <row r="357" spans="1:16" ht="27.75" x14ac:dyDescent="0.25">
      <c r="A357" s="272" t="s">
        <v>602</v>
      </c>
      <c r="B357" s="272"/>
      <c r="C357" s="272"/>
      <c r="D357" s="272"/>
      <c r="E357" s="272"/>
      <c r="F357" s="272"/>
      <c r="G357" s="272"/>
      <c r="H357" s="161"/>
      <c r="I357" s="162"/>
      <c r="J357" s="152">
        <f>J353+J355</f>
        <v>2297163.5752051314</v>
      </c>
      <c r="K357" s="163"/>
      <c r="L357" s="163"/>
      <c r="M357" s="163"/>
      <c r="N357" s="164"/>
      <c r="P357" s="9">
        <f t="shared" si="114"/>
        <v>0</v>
      </c>
    </row>
    <row r="358" spans="1:16" ht="28.5" customHeight="1" x14ac:dyDescent="0.25">
      <c r="J358" s="167"/>
      <c r="K358" s="160"/>
      <c r="P358" s="9">
        <f t="shared" ref="P358:P362" si="115">SUM(Q358:AX358)</f>
        <v>0</v>
      </c>
    </row>
    <row r="359" spans="1:16" ht="27.75" x14ac:dyDescent="0.25">
      <c r="A359" s="272" t="s">
        <v>603</v>
      </c>
      <c r="B359" s="272"/>
      <c r="C359" s="272"/>
      <c r="D359" s="272"/>
      <c r="E359" s="272"/>
      <c r="F359" s="272"/>
      <c r="G359" s="272"/>
      <c r="H359" s="161"/>
      <c r="I359" s="162"/>
      <c r="J359" s="152">
        <f>(J357*0.47208)</f>
        <v>1084444.9805828384</v>
      </c>
      <c r="K359" s="163"/>
      <c r="L359" s="163"/>
      <c r="M359" s="163"/>
      <c r="N359" s="164"/>
      <c r="P359" s="9">
        <f t="shared" si="115"/>
        <v>0</v>
      </c>
    </row>
    <row r="360" spans="1:16" ht="28.5" x14ac:dyDescent="0.45">
      <c r="A360" s="155"/>
      <c r="B360" s="156"/>
      <c r="C360" s="157"/>
      <c r="D360" s="158"/>
      <c r="E360" s="158"/>
      <c r="F360" s="158"/>
      <c r="G360" s="158"/>
      <c r="H360" s="165"/>
      <c r="I360" s="165"/>
      <c r="J360" s="166"/>
      <c r="K360" s="165"/>
      <c r="L360" s="165"/>
      <c r="M360" s="165"/>
      <c r="P360" s="9">
        <f t="shared" si="115"/>
        <v>0</v>
      </c>
    </row>
    <row r="361" spans="1:16" ht="27.75" x14ac:dyDescent="0.25">
      <c r="A361" s="272" t="s">
        <v>604</v>
      </c>
      <c r="B361" s="272"/>
      <c r="C361" s="272"/>
      <c r="D361" s="272"/>
      <c r="E361" s="272"/>
      <c r="F361" s="272"/>
      <c r="G361" s="272"/>
      <c r="H361" s="161"/>
      <c r="I361" s="162"/>
      <c r="J361" s="152">
        <f>J357+J359</f>
        <v>3381608.5557879698</v>
      </c>
      <c r="K361" s="163"/>
      <c r="L361" s="163"/>
      <c r="M361" s="163"/>
      <c r="N361" s="164"/>
      <c r="P361" s="9">
        <f t="shared" si="115"/>
        <v>0</v>
      </c>
    </row>
    <row r="362" spans="1:16" x14ac:dyDescent="0.25">
      <c r="I362" s="167"/>
      <c r="J362" s="167"/>
      <c r="K362" s="160"/>
      <c r="L362" s="160"/>
      <c r="P362" s="9">
        <f t="shared" si="115"/>
        <v>0</v>
      </c>
    </row>
  </sheetData>
  <autoFilter ref="A12:N349" xr:uid="{00000000-0009-0000-0000-000000000000}"/>
  <mergeCells count="37">
    <mergeCell ref="A25:F25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59:G359"/>
    <mergeCell ref="A332:F332"/>
    <mergeCell ref="A337:F337"/>
    <mergeCell ref="A341:F341"/>
    <mergeCell ref="A344:F344"/>
    <mergeCell ref="A361:G361"/>
    <mergeCell ref="A349:G349"/>
    <mergeCell ref="A351:G351"/>
    <mergeCell ref="A353:G353"/>
    <mergeCell ref="A355:G355"/>
    <mergeCell ref="A357:G357"/>
  </mergeCells>
  <phoneticPr fontId="35" type="noConversion"/>
  <conditionalFormatting sqref="N358 N54:N56 N59 N352 N354 N356 N345:N350 N64:N142 N362:N1048576 N360 N1:N52 N146:N302">
    <cfRule type="cellIs" dxfId="59" priority="24" operator="equal">
      <formula>1</formula>
    </cfRule>
    <cfRule type="cellIs" dxfId="58" priority="25" operator="greaterThan">
      <formula>100</formula>
    </cfRule>
  </conditionalFormatting>
  <conditionalFormatting sqref="N143:N145">
    <cfRule type="cellIs" dxfId="57" priority="26" operator="equal">
      <formula>1</formula>
    </cfRule>
    <cfRule type="cellIs" dxfId="56" priority="27" operator="greaterThan">
      <formula>100</formula>
    </cfRule>
  </conditionalFormatting>
  <conditionalFormatting sqref="N60 N62:N63">
    <cfRule type="cellIs" dxfId="55" priority="28" operator="equal">
      <formula>1</formula>
    </cfRule>
    <cfRule type="cellIs" dxfId="54" priority="29" operator="greaterThan">
      <formula>100</formula>
    </cfRule>
  </conditionalFormatting>
  <conditionalFormatting sqref="N53">
    <cfRule type="cellIs" dxfId="53" priority="30" operator="equal">
      <formula>1</formula>
    </cfRule>
    <cfRule type="cellIs" dxfId="52" priority="31" operator="greaterThan">
      <formula>100</formula>
    </cfRule>
  </conditionalFormatting>
  <conditionalFormatting sqref="N57">
    <cfRule type="cellIs" dxfId="51" priority="32" operator="equal">
      <formula>1</formula>
    </cfRule>
    <cfRule type="cellIs" dxfId="50" priority="33" operator="greaterThan">
      <formula>100</formula>
    </cfRule>
  </conditionalFormatting>
  <conditionalFormatting sqref="N58">
    <cfRule type="cellIs" dxfId="49" priority="34" operator="equal">
      <formula>1</formula>
    </cfRule>
    <cfRule type="cellIs" dxfId="48" priority="35" operator="greaterThan">
      <formula>100</formula>
    </cfRule>
  </conditionalFormatting>
  <conditionalFormatting sqref="N61">
    <cfRule type="cellIs" dxfId="47" priority="36" operator="equal">
      <formula>1</formula>
    </cfRule>
    <cfRule type="cellIs" dxfId="46" priority="37" operator="greaterThan">
      <formula>100</formula>
    </cfRule>
  </conditionalFormatting>
  <conditionalFormatting sqref="N303:N304">
    <cfRule type="cellIs" dxfId="45" priority="38" operator="equal">
      <formula>1</formula>
    </cfRule>
    <cfRule type="cellIs" dxfId="44" priority="39" operator="greaterThan">
      <formula>100</formula>
    </cfRule>
  </conditionalFormatting>
  <conditionalFormatting sqref="N312">
    <cfRule type="cellIs" dxfId="43" priority="40" operator="equal">
      <formula>1</formula>
    </cfRule>
    <cfRule type="cellIs" dxfId="42" priority="41" operator="greaterThan">
      <formula>100</formula>
    </cfRule>
  </conditionalFormatting>
  <conditionalFormatting sqref="N313">
    <cfRule type="cellIs" dxfId="41" priority="42" operator="equal">
      <formula>1</formula>
    </cfRule>
    <cfRule type="cellIs" dxfId="40" priority="43" operator="greaterThan">
      <formula>100</formula>
    </cfRule>
  </conditionalFormatting>
  <conditionalFormatting sqref="N317">
    <cfRule type="cellIs" dxfId="39" priority="44" operator="equal">
      <formula>1</formula>
    </cfRule>
    <cfRule type="cellIs" dxfId="38" priority="45" operator="greaterThan">
      <formula>100</formula>
    </cfRule>
  </conditionalFormatting>
  <conditionalFormatting sqref="N318">
    <cfRule type="cellIs" dxfId="37" priority="46" operator="equal">
      <formula>1</formula>
    </cfRule>
    <cfRule type="cellIs" dxfId="36" priority="47" operator="greaterThan">
      <formula>100</formula>
    </cfRule>
  </conditionalFormatting>
  <conditionalFormatting sqref="N323">
    <cfRule type="cellIs" dxfId="35" priority="48" operator="equal">
      <formula>1</formula>
    </cfRule>
    <cfRule type="cellIs" dxfId="34" priority="49" operator="greaterThan">
      <formula>100</formula>
    </cfRule>
  </conditionalFormatting>
  <conditionalFormatting sqref="N324">
    <cfRule type="cellIs" dxfId="33" priority="50" operator="equal">
      <formula>1</formula>
    </cfRule>
    <cfRule type="cellIs" dxfId="32" priority="51" operator="greaterThan">
      <formula>100</formula>
    </cfRule>
  </conditionalFormatting>
  <conditionalFormatting sqref="N328 N332 N337 N341 N344">
    <cfRule type="cellIs" dxfId="31" priority="52" operator="equal">
      <formula>1</formula>
    </cfRule>
    <cfRule type="cellIs" dxfId="30" priority="53" operator="greaterThan">
      <formula>100</formula>
    </cfRule>
  </conditionalFormatting>
  <conditionalFormatting sqref="N305:N311">
    <cfRule type="cellIs" dxfId="29" priority="54" operator="equal">
      <formula>1</formula>
    </cfRule>
    <cfRule type="cellIs" dxfId="28" priority="55" operator="greaterThan">
      <formula>100</formula>
    </cfRule>
  </conditionalFormatting>
  <conditionalFormatting sqref="N314:N316">
    <cfRule type="cellIs" dxfId="27" priority="56" operator="equal">
      <formula>1</formula>
    </cfRule>
    <cfRule type="cellIs" dxfId="26" priority="57" operator="greaterThan">
      <formula>100</formula>
    </cfRule>
  </conditionalFormatting>
  <conditionalFormatting sqref="N319:N322">
    <cfRule type="cellIs" dxfId="25" priority="58" operator="equal">
      <formula>1</formula>
    </cfRule>
    <cfRule type="cellIs" dxfId="24" priority="59" operator="greaterThan">
      <formula>100</formula>
    </cfRule>
  </conditionalFormatting>
  <conditionalFormatting sqref="N325:N327">
    <cfRule type="cellIs" dxfId="23" priority="60" operator="equal">
      <formula>1</formula>
    </cfRule>
    <cfRule type="cellIs" dxfId="22" priority="61" operator="greaterThan">
      <formula>100</formula>
    </cfRule>
  </conditionalFormatting>
  <conditionalFormatting sqref="N329:N330">
    <cfRule type="cellIs" dxfId="21" priority="21" operator="equal">
      <formula>1</formula>
    </cfRule>
    <cfRule type="cellIs" dxfId="20" priority="22" operator="greaterThan">
      <formula>100</formula>
    </cfRule>
  </conditionalFormatting>
  <conditionalFormatting sqref="N331">
    <cfRule type="cellIs" dxfId="19" priority="19" operator="equal">
      <formula>1</formula>
    </cfRule>
    <cfRule type="cellIs" dxfId="18" priority="20" operator="greaterThan">
      <formula>100</formula>
    </cfRule>
  </conditionalFormatting>
  <conditionalFormatting sqref="N333">
    <cfRule type="cellIs" dxfId="17" priority="17" operator="equal">
      <formula>1</formula>
    </cfRule>
    <cfRule type="cellIs" dxfId="16" priority="18" operator="greaterThan">
      <formula>100</formula>
    </cfRule>
  </conditionalFormatting>
  <conditionalFormatting sqref="N334">
    <cfRule type="cellIs" dxfId="15" priority="15" operator="equal">
      <formula>1</formula>
    </cfRule>
    <cfRule type="cellIs" dxfId="14" priority="16" operator="greaterThan">
      <formula>100</formula>
    </cfRule>
  </conditionalFormatting>
  <conditionalFormatting sqref="N335">
    <cfRule type="cellIs" dxfId="13" priority="13" operator="equal">
      <formula>1</formula>
    </cfRule>
    <cfRule type="cellIs" dxfId="12" priority="14" operator="greaterThan">
      <formula>100</formula>
    </cfRule>
  </conditionalFormatting>
  <conditionalFormatting sqref="N336">
    <cfRule type="cellIs" dxfId="11" priority="11" operator="equal">
      <formula>1</formula>
    </cfRule>
    <cfRule type="cellIs" dxfId="10" priority="12" operator="greaterThan">
      <formula>100</formula>
    </cfRule>
  </conditionalFormatting>
  <conditionalFormatting sqref="N338">
    <cfRule type="cellIs" dxfId="9" priority="9" operator="equal">
      <formula>1</formula>
    </cfRule>
    <cfRule type="cellIs" dxfId="8" priority="10" operator="greaterThan">
      <formula>100</formula>
    </cfRule>
  </conditionalFormatting>
  <conditionalFormatting sqref="N339">
    <cfRule type="cellIs" dxfId="7" priority="7" operator="equal">
      <formula>1</formula>
    </cfRule>
    <cfRule type="cellIs" dxfId="6" priority="8" operator="greaterThan">
      <formula>100</formula>
    </cfRule>
  </conditionalFormatting>
  <conditionalFormatting sqref="N340">
    <cfRule type="cellIs" dxfId="5" priority="5" operator="equal">
      <formula>1</formula>
    </cfRule>
    <cfRule type="cellIs" dxfId="4" priority="6" operator="greaterThan">
      <formula>100</formula>
    </cfRule>
  </conditionalFormatting>
  <conditionalFormatting sqref="N342">
    <cfRule type="cellIs" dxfId="3" priority="3" operator="equal">
      <formula>1</formula>
    </cfRule>
    <cfRule type="cellIs" dxfId="2" priority="4" operator="greaterThan">
      <formula>100</formula>
    </cfRule>
  </conditionalFormatting>
  <conditionalFormatting sqref="N343">
    <cfRule type="cellIs" dxfId="1" priority="1" operator="equal">
      <formula>1</formula>
    </cfRule>
    <cfRule type="cellIs" dxfId="0" priority="2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verticalDpi="300" r:id="rId1"/>
  <rowBreaks count="1" manualBreakCount="1">
    <brk id="276" max="16383" man="1"/>
  </rowBreaks>
  <ignoredErrors>
    <ignoredError sqref="G111 G157 K213 I30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2:AMJ10"/>
  <sheetViews>
    <sheetView showZeros="0" view="pageBreakPreview" zoomScale="130" zoomScaleNormal="100" zoomScaleSheetLayoutView="130" zoomScalePageLayoutView="50" workbookViewId="0">
      <selection activeCell="D16" sqref="D16"/>
    </sheetView>
  </sheetViews>
  <sheetFormatPr defaultColWidth="8.7109375" defaultRowHeight="12.75" x14ac:dyDescent="0.2"/>
  <cols>
    <col min="1" max="1" width="24.42578125" style="168" customWidth="1"/>
    <col min="2" max="3" width="15.42578125" style="169" customWidth="1"/>
    <col min="4" max="5" width="18.7109375" style="169" customWidth="1"/>
    <col min="6" max="6" width="22.42578125" style="169" customWidth="1"/>
    <col min="7" max="7" width="17.5703125" style="169" customWidth="1"/>
    <col min="8" max="8" width="22.42578125" style="169" customWidth="1"/>
    <col min="9" max="9" width="19.85546875" style="169" customWidth="1"/>
    <col min="10" max="10" width="22.42578125" style="169" customWidth="1"/>
    <col min="11" max="11" width="15.42578125" style="168" customWidth="1"/>
    <col min="12" max="1024" width="8.7109375" style="168"/>
  </cols>
  <sheetData>
    <row r="2" spans="1:11" x14ac:dyDescent="0.2">
      <c r="A2" s="170" t="s">
        <v>605</v>
      </c>
      <c r="B2" s="171" t="s">
        <v>606</v>
      </c>
      <c r="C2" s="171" t="s">
        <v>607</v>
      </c>
      <c r="D2" s="171" t="s">
        <v>608</v>
      </c>
      <c r="E2" s="171" t="s">
        <v>609</v>
      </c>
      <c r="F2" s="171" t="s">
        <v>610</v>
      </c>
      <c r="G2" s="171" t="s">
        <v>611</v>
      </c>
      <c r="H2" s="171" t="s">
        <v>612</v>
      </c>
      <c r="I2" s="171" t="s">
        <v>613</v>
      </c>
      <c r="J2" s="171" t="s">
        <v>614</v>
      </c>
    </row>
    <row r="3" spans="1:11" x14ac:dyDescent="0.2">
      <c r="C3" s="169">
        <v>0.35</v>
      </c>
    </row>
    <row r="4" spans="1:11" x14ac:dyDescent="0.2">
      <c r="A4" s="168" t="s">
        <v>615</v>
      </c>
      <c r="B4" s="172"/>
      <c r="C4" s="172">
        <f>B4*$C$3</f>
        <v>0</v>
      </c>
      <c r="D4" s="172">
        <f>SUM(B4:C4)</f>
        <v>0</v>
      </c>
      <c r="E4" s="172">
        <f>D4*2.769%</f>
        <v>0</v>
      </c>
      <c r="F4" s="172">
        <f>SUM(D4:E4)</f>
        <v>0</v>
      </c>
      <c r="G4" s="172">
        <f>F4*4.47%</f>
        <v>0</v>
      </c>
      <c r="H4" s="173">
        <f>SUM(F4:G4)</f>
        <v>0</v>
      </c>
      <c r="I4" s="173">
        <f>H4*47.208%</f>
        <v>0</v>
      </c>
      <c r="J4" s="174">
        <f>SUM(H4:I4)</f>
        <v>0</v>
      </c>
      <c r="K4" s="175">
        <v>235643.27845655099</v>
      </c>
    </row>
    <row r="5" spans="1:11" x14ac:dyDescent="0.2">
      <c r="A5" s="168" t="s">
        <v>616</v>
      </c>
      <c r="B5" s="172"/>
      <c r="C5" s="172">
        <f>B5*$C$3</f>
        <v>0</v>
      </c>
      <c r="D5" s="172">
        <f>SUM(B5:C5)</f>
        <v>0</v>
      </c>
      <c r="E5" s="172">
        <f>D5*2.769%</f>
        <v>0</v>
      </c>
      <c r="F5" s="172">
        <f>SUM(D5:E5)</f>
        <v>0</v>
      </c>
      <c r="G5" s="172">
        <f>F5*4.47%</f>
        <v>0</v>
      </c>
      <c r="H5" s="173">
        <f>SUM(F5:G5)</f>
        <v>0</v>
      </c>
      <c r="I5" s="173">
        <f>H5*47.208%</f>
        <v>0</v>
      </c>
      <c r="J5" s="174">
        <f>SUM(H5:I5)</f>
        <v>0</v>
      </c>
      <c r="K5" s="175">
        <v>369990.21569126903</v>
      </c>
    </row>
    <row r="6" spans="1:11" x14ac:dyDescent="0.2">
      <c r="A6" s="168" t="s">
        <v>235</v>
      </c>
      <c r="B6" s="172"/>
      <c r="C6" s="172">
        <f>B6*$C$3</f>
        <v>0</v>
      </c>
      <c r="D6" s="172">
        <f>SUM(B6:C6)</f>
        <v>0</v>
      </c>
      <c r="E6" s="172">
        <f>D6*2.769%</f>
        <v>0</v>
      </c>
      <c r="F6" s="172">
        <f>SUM(D6:E6)</f>
        <v>0</v>
      </c>
      <c r="G6" s="172">
        <f>F6*4.47%</f>
        <v>0</v>
      </c>
      <c r="H6" s="173">
        <f>SUM(F6:G6)</f>
        <v>0</v>
      </c>
      <c r="I6" s="173">
        <f>H6*47.208%</f>
        <v>0</v>
      </c>
      <c r="J6" s="174">
        <f>SUM(H6:I6)</f>
        <v>0</v>
      </c>
      <c r="K6" s="175">
        <v>523610.45840643899</v>
      </c>
    </row>
    <row r="7" spans="1:11" x14ac:dyDescent="0.2">
      <c r="A7" s="168" t="s">
        <v>617</v>
      </c>
      <c r="B7" s="172"/>
      <c r="C7" s="172">
        <f>B7*$C$3</f>
        <v>0</v>
      </c>
      <c r="D7" s="172">
        <f>SUM(B7:C7)</f>
        <v>0</v>
      </c>
      <c r="E7" s="172">
        <f>D7*2.769%</f>
        <v>0</v>
      </c>
      <c r="F7" s="172">
        <f>SUM(D7:E7)</f>
        <v>0</v>
      </c>
      <c r="G7" s="172">
        <f>F7*4.47%</f>
        <v>0</v>
      </c>
      <c r="H7" s="173">
        <f>SUM(F7:G7)</f>
        <v>0</v>
      </c>
      <c r="I7" s="173">
        <f>H7*47.208%</f>
        <v>0</v>
      </c>
      <c r="J7" s="174">
        <f>SUM(H7:I7)</f>
        <v>0</v>
      </c>
      <c r="K7" s="175">
        <v>222840.82167915499</v>
      </c>
    </row>
    <row r="8" spans="1:11" x14ac:dyDescent="0.2">
      <c r="A8" s="168" t="s">
        <v>618</v>
      </c>
      <c r="B8" s="172"/>
      <c r="C8" s="172">
        <f>B8*$C$3</f>
        <v>0</v>
      </c>
      <c r="D8" s="172">
        <f>SUM(B8:C8)</f>
        <v>0</v>
      </c>
      <c r="E8" s="172">
        <f>D8*2.769%</f>
        <v>0</v>
      </c>
      <c r="F8" s="172">
        <f>SUM(D8:E8)</f>
        <v>0</v>
      </c>
      <c r="G8" s="172">
        <f>F8*4.47%</f>
        <v>0</v>
      </c>
      <c r="H8" s="173">
        <f>SUM(F8:G8)</f>
        <v>0</v>
      </c>
      <c r="I8" s="173">
        <f>H8*47.208%</f>
        <v>0</v>
      </c>
      <c r="J8" s="174">
        <f>SUM(H8:I8)</f>
        <v>0</v>
      </c>
    </row>
    <row r="9" spans="1:11" x14ac:dyDescent="0.2">
      <c r="A9" s="176" t="s">
        <v>606</v>
      </c>
      <c r="B9" s="177">
        <f>SUM(B4:B8)</f>
        <v>0</v>
      </c>
      <c r="C9" s="177">
        <f>SUM(C4:C8)</f>
        <v>0</v>
      </c>
      <c r="D9" s="177">
        <f t="shared" ref="D9:I9" si="0">SUM(D4:D8)</f>
        <v>0</v>
      </c>
      <c r="E9" s="177">
        <f t="shared" si="0"/>
        <v>0</v>
      </c>
      <c r="F9" s="177">
        <f t="shared" si="0"/>
        <v>0</v>
      </c>
      <c r="G9" s="177">
        <f t="shared" si="0"/>
        <v>0</v>
      </c>
      <c r="H9" s="177">
        <f t="shared" si="0"/>
        <v>0</v>
      </c>
      <c r="I9" s="177">
        <f t="shared" si="0"/>
        <v>0</v>
      </c>
      <c r="J9" s="178">
        <f>SUM(J4:J8)</f>
        <v>0</v>
      </c>
    </row>
    <row r="10" spans="1:11" x14ac:dyDescent="0.2">
      <c r="B10" s="172"/>
      <c r="C10" s="172"/>
      <c r="D10" s="172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25° MEDIÇÃO</vt:lpstr>
      <vt:lpstr>FATURAMENTO</vt:lpstr>
      <vt:lpstr>'25°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Jessica Helena Bicudo Batistela</cp:lastModifiedBy>
  <cp:revision>46</cp:revision>
  <cp:lastPrinted>2022-09-30T12:21:46Z</cp:lastPrinted>
  <dcterms:created xsi:type="dcterms:W3CDTF">1997-11-03T10:30:38Z</dcterms:created>
  <dcterms:modified xsi:type="dcterms:W3CDTF">2023-01-13T16:21:31Z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