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 Med.04" sheetId="1" state="visible" r:id="rId2"/>
    <sheet name="Memória" sheetId="2" state="visible" r:id="rId3"/>
    <sheet name="Planilha1" sheetId="3" state="visible" r:id="rId4"/>
  </sheets>
  <externalReferences>
    <externalReference r:id="rId5"/>
    <externalReference r:id="rId6"/>
  </externalReferences>
  <definedNames>
    <definedName function="false" hidden="false" localSheetId="1" name="_xlnm.Print_Area" vbProcedure="false">Memória!$B$2:$H$88</definedName>
    <definedName function="false" hidden="false" localSheetId="0" name="_xlnm.Print_Area" vbProcedure="false">'Planilha Med.04'!$A$1:$V$53</definedName>
    <definedName function="false" hidden="false" localSheetId="0" name="_xlnm.Print_Titles" vbProcedure="false">'Planilha Med.04'!$9:$10</definedName>
    <definedName function="false" hidden="true" localSheetId="0" name="_xlnm._FilterDatabase" vbProcedure="false">'Planilha Med.04'!$A$10:$V$54</definedName>
    <definedName function="false" hidden="false" localSheetId="2" name="_xlnm.Print_Area" vbProcedure="false">Planilha1!$A$1:$I$22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<sst xmlns="http://schemas.openxmlformats.org/spreadsheetml/2006/main" count="400" uniqueCount="266">
  <si>
    <t xml:space="preserve">PLANILHA MEDIÇÃO N.º 04 -  Periodo 01 / 05 / 2023  a 30 / 06 / 2023</t>
  </si>
  <si>
    <t xml:space="preserve">PREFEITURA MUNICIPAL DE  SOROCABA</t>
  </si>
  <si>
    <r>
      <rPr>
        <b val="true"/>
        <sz val="14"/>
        <rFont val="Arial"/>
        <family val="2"/>
        <charset val="1"/>
      </rPr>
      <t xml:space="preserve">Objeto:</t>
    </r>
    <r>
      <rPr>
        <sz val="14"/>
        <rFont val="Arial"/>
        <family val="2"/>
        <charset val="1"/>
      </rPr>
      <t xml:space="preserve"> CONSTRUÇÃO DE UM SISTEMA DE MACRODRENAGEM - JD. NILTON TORRES</t>
    </r>
  </si>
  <si>
    <r>
      <rPr>
        <b val="true"/>
        <sz val="14"/>
        <rFont val="Arial"/>
        <family val="2"/>
        <charset val="1"/>
      </rPr>
      <t xml:space="preserve">Endereço:</t>
    </r>
    <r>
      <rPr>
        <sz val="14"/>
        <color rgb="FFFF0000"/>
        <rFont val="Arial"/>
        <family val="2"/>
        <charset val="1"/>
      </rPr>
      <t xml:space="preserve"> </t>
    </r>
    <r>
      <rPr>
        <sz val="14"/>
        <rFont val="Arial"/>
        <family val="2"/>
        <charset val="1"/>
      </rPr>
      <t xml:space="preserve">BAIRRO NILTON TORRES</t>
    </r>
  </si>
  <si>
    <t xml:space="preserve">Contrato: 446/2022</t>
  </si>
  <si>
    <t xml:space="preserve">Valores Licitados</t>
  </si>
  <si>
    <t xml:space="preserve">ACUMULADO ANTERIOR</t>
  </si>
  <si>
    <t xml:space="preserve">MEDIÇÃO N.º 01</t>
  </si>
  <si>
    <t xml:space="preserve">MEDIÇÃO N.º 02</t>
  </si>
  <si>
    <t xml:space="preserve">MEDIÇÃO N.º 03</t>
  </si>
  <si>
    <t xml:space="preserve">MEDIÇÃO N.º 04</t>
  </si>
  <si>
    <t xml:space="preserve">ACUMULADO ATUAL</t>
  </si>
  <si>
    <t xml:space="preserve">SALDO</t>
  </si>
  <si>
    <r>
      <rPr>
        <b val="true"/>
        <sz val="14"/>
        <rFont val="Arial"/>
        <family val="2"/>
        <charset val="1"/>
      </rPr>
      <t xml:space="preserve">Item </t>
    </r>
    <r>
      <rPr>
        <b val="true"/>
        <sz val="14"/>
        <color rgb="FFFF0000"/>
        <rFont val="Arial"/>
        <family val="2"/>
        <charset val="1"/>
      </rPr>
      <t xml:space="preserve"> </t>
    </r>
  </si>
  <si>
    <t xml:space="preserve">Códigos dos Serviços</t>
  </si>
  <si>
    <t xml:space="preserve">Fonte dos Serviços</t>
  </si>
  <si>
    <t xml:space="preserve">Descrição dos Serviços</t>
  </si>
  <si>
    <t xml:space="preserve">Un</t>
  </si>
  <si>
    <t xml:space="preserve">Qde. </t>
  </si>
  <si>
    <t xml:space="preserve">Pr. Unit.</t>
  </si>
  <si>
    <t xml:space="preserve">Pr. Total</t>
  </si>
  <si>
    <t xml:space="preserve">Qde.</t>
  </si>
  <si>
    <t xml:space="preserve">SERVIÇO TÉCNICO ESPECIALIZADO</t>
  </si>
  <si>
    <t xml:space="preserve">1.1</t>
  </si>
  <si>
    <t xml:space="preserve">01.21.110</t>
  </si>
  <si>
    <t xml:space="preserve">CDHU</t>
  </si>
  <si>
    <t xml:space="preserve">Sondagem de terreno à percussão (mínimo de 30 m)</t>
  </si>
  <si>
    <t xml:space="preserve">m</t>
  </si>
  <si>
    <t xml:space="preserve">1.2</t>
  </si>
  <si>
    <t xml:space="preserve">01.17.051</t>
  </si>
  <si>
    <t xml:space="preserve">Projeto executivo de estrutura em formato A1</t>
  </si>
  <si>
    <t xml:space="preserve">un</t>
  </si>
  <si>
    <t xml:space="preserve">1.3</t>
  </si>
  <si>
    <t xml:space="preserve">17.30.02</t>
  </si>
  <si>
    <t xml:space="preserve">SIURB</t>
  </si>
  <si>
    <t xml:space="preserve">Placa de Obra em chapa de aço galvanizado</t>
  </si>
  <si>
    <t xml:space="preserve">m²</t>
  </si>
  <si>
    <t xml:space="preserve">1.4</t>
  </si>
  <si>
    <t xml:space="preserve">34.08.27.01</t>
  </si>
  <si>
    <t xml:space="preserve">DER</t>
  </si>
  <si>
    <t xml:space="preserve">ESTUDO HIDROLOGICO E APROV. DO DAEE</t>
  </si>
  <si>
    <t xml:space="preserve">Und.</t>
  </si>
  <si>
    <t xml:space="preserve">1.5</t>
  </si>
  <si>
    <t xml:space="preserve">01.27.041</t>
  </si>
  <si>
    <t xml:space="preserve">LAUDO DE CARACTERIZAÇÃO DE VEGETAÇÃO</t>
  </si>
  <si>
    <t xml:space="preserve">UN</t>
  </si>
  <si>
    <t xml:space="preserve">SUB-TOTAL &gt;&gt;&gt;&gt;&gt;</t>
  </si>
  <si>
    <t xml:space="preserve">2.0</t>
  </si>
  <si>
    <t xml:space="preserve">CANTEIRO DE OBRAS</t>
  </si>
  <si>
    <t xml:space="preserve">2.1</t>
  </si>
  <si>
    <t xml:space="preserve">02.02.140</t>
  </si>
  <si>
    <t xml:space="preserve">Locação de container tipo sanitário com 2 vasos sanitários, 2 lavatórios, 2 mictórios e 4 pontos para chuveiro - área mínima de 13,80 m²</t>
  </si>
  <si>
    <t xml:space="preserve">UNMES</t>
  </si>
  <si>
    <t xml:space="preserve">2.2</t>
  </si>
  <si>
    <t xml:space="preserve">02.02.130</t>
  </si>
  <si>
    <t xml:space="preserve">Locação de container tipo escritório com 1 vasos sanitário, 1 lavatório, 2 mictórios e 1 ponto para chuveiro - área mínima de 13,80 m²</t>
  </si>
  <si>
    <t xml:space="preserve">2.3</t>
  </si>
  <si>
    <t xml:space="preserve">02.02.150</t>
  </si>
  <si>
    <t xml:space="preserve">Locação de container tipo depósito - área mínima de 13,80 m²</t>
  </si>
  <si>
    <t xml:space="preserve">3.0</t>
  </si>
  <si>
    <t xml:space="preserve">TERRAPLANAGEM</t>
  </si>
  <si>
    <t xml:space="preserve">3.1</t>
  </si>
  <si>
    <t xml:space="preserve">22.01.01.99</t>
  </si>
  <si>
    <t xml:space="preserve">LIMP. TERRENO SEM DESTOCAMENTO DE ARVORES</t>
  </si>
  <si>
    <t xml:space="preserve">3.2</t>
  </si>
  <si>
    <t xml:space="preserve">22.01.06.99</t>
  </si>
  <si>
    <t xml:space="preserve">RASPAGEM DE TERRENO</t>
  </si>
  <si>
    <t xml:space="preserve">3.3</t>
  </si>
  <si>
    <t xml:space="preserve">22.02.01.99</t>
  </si>
  <si>
    <t xml:space="preserve">ESCAVACAO E CARGA DE MATERIAL DE 1/2A CATEGORIA</t>
  </si>
  <si>
    <t xml:space="preserve">m³</t>
  </si>
  <si>
    <t xml:space="preserve">3.4</t>
  </si>
  <si>
    <t xml:space="preserve">22.03.10.99</t>
  </si>
  <si>
    <t xml:space="preserve">TRANSPORTE DE SOLO ALEM 2 KM</t>
  </si>
  <si>
    <t xml:space="preserve">m³xKM</t>
  </si>
  <si>
    <t xml:space="preserve">3.5</t>
  </si>
  <si>
    <t xml:space="preserve">22.04.01.99</t>
  </si>
  <si>
    <t xml:space="preserve">COMPACTAÇÃO DE ATERRO MAIOR/IGUAL 95% PS</t>
  </si>
  <si>
    <t xml:space="preserve">4.0</t>
  </si>
  <si>
    <t xml:space="preserve">SERVIÇOS DE DRENAGEM DE ÁGUAS PLUVIAIS</t>
  </si>
  <si>
    <t xml:space="preserve">4.1</t>
  </si>
  <si>
    <t xml:space="preserve">08.01.040</t>
  </si>
  <si>
    <t xml:space="preserve">Escoramento de solo descontínuo</t>
  </si>
  <si>
    <t xml:space="preserve">4.2</t>
  </si>
  <si>
    <t xml:space="preserve">06-14-01</t>
  </si>
  <si>
    <t xml:space="preserve">SIURB-INFRA</t>
  </si>
  <si>
    <t xml:space="preserve">FORNECIMENTO E ASSENTAMENTO DE TUBOS DE CONCRETO ARMADO, DIÂMETRO 100CM - TIPO PA-2</t>
  </si>
  <si>
    <t xml:space="preserve">M</t>
  </si>
  <si>
    <t xml:space="preserve">4.3</t>
  </si>
  <si>
    <t xml:space="preserve">14-01-01</t>
  </si>
  <si>
    <t xml:space="preserve">FUNDAÇÃO DE RACHÃO</t>
  </si>
  <si>
    <t xml:space="preserve">M3</t>
  </si>
  <si>
    <t xml:space="preserve">4.4</t>
  </si>
  <si>
    <t xml:space="preserve">03-67-16</t>
  </si>
  <si>
    <t xml:space="preserve">FORNECIMENTO E APLICAÇÃO DE AÇO CA-50 - DIÂMETRO &lt; 1/2"</t>
  </si>
  <si>
    <t xml:space="preserve">KG</t>
  </si>
  <si>
    <t xml:space="preserve">4.5</t>
  </si>
  <si>
    <t xml:space="preserve">11.01.290</t>
  </si>
  <si>
    <t xml:space="preserve">Concreto usinado, fck = 25 Mpa - para bombeamento</t>
  </si>
  <si>
    <t xml:space="preserve">4.6</t>
  </si>
  <si>
    <t xml:space="preserve">07.07.00</t>
  </si>
  <si>
    <t xml:space="preserve">Forma para galeria moldada</t>
  </si>
  <si>
    <t xml:space="preserve">4.7</t>
  </si>
  <si>
    <t xml:space="preserve">04-32-00</t>
  </si>
  <si>
    <t xml:space="preserve">Compactação de terra, medida no aterro (fundo de valas pluviais)</t>
  </si>
  <si>
    <t xml:space="preserve">4.8</t>
  </si>
  <si>
    <t xml:space="preserve">07.11.020</t>
  </si>
  <si>
    <t xml:space="preserve">Reaterro compactado mecanizado de vala ou cava com compactador</t>
  </si>
  <si>
    <t xml:space="preserve">4.9</t>
  </si>
  <si>
    <t xml:space="preserve">22.03.09.99</t>
  </si>
  <si>
    <t xml:space="preserve">TRANSPORTE DE SOLO ATE 2 KM</t>
  </si>
  <si>
    <t xml:space="preserve">5.0</t>
  </si>
  <si>
    <t xml:space="preserve">SERVIÇOS COMPLEMENTARES</t>
  </si>
  <si>
    <t xml:space="preserve">5.1</t>
  </si>
  <si>
    <t xml:space="preserve">01.27.011</t>
  </si>
  <si>
    <t xml:space="preserve">Projeto e implementação de gerenciamento integrado de resíduos sólidos e gestão de perdas</t>
  </si>
  <si>
    <t xml:space="preserve">unid.</t>
  </si>
  <si>
    <t xml:space="preserve">5.2</t>
  </si>
  <si>
    <t xml:space="preserve">01.27.031</t>
  </si>
  <si>
    <t xml:space="preserve">Projeto e implementação de controle ambiental de obra</t>
  </si>
  <si>
    <t xml:space="preserve">5.3</t>
  </si>
  <si>
    <t xml:space="preserve">30.03.01</t>
  </si>
  <si>
    <t xml:space="preserve">PROJETO DE PLANTIO COM ESSENCIAS FLORESTAIS NATIVAS</t>
  </si>
  <si>
    <t xml:space="preserve">5.4</t>
  </si>
  <si>
    <t xml:space="preserve">30.01.40.03.01</t>
  </si>
  <si>
    <t xml:space="preserve">PLANTIO ESSENCIAS FLORESTAIS NATIVAS h&gt;=1,50M</t>
  </si>
  <si>
    <t xml:space="preserve">5.5</t>
  </si>
  <si>
    <t xml:space="preserve">30.01.40.02</t>
  </si>
  <si>
    <t xml:space="preserve">MANUTENCAO DO PLANTIO FLORESTAL DE ESP.ARBÓREAS NATIVAS COM ESP.DE 3,00M X 2,00M</t>
  </si>
  <si>
    <t xml:space="preserve">haxmês</t>
  </si>
  <si>
    <t xml:space="preserve">TOTAL GERAL DA OBRA  &gt;&gt;&gt;&gt;&gt;</t>
  </si>
  <si>
    <t xml:space="preserve">ACORDAO
2.622/2013</t>
  </si>
  <si>
    <t xml:space="preserve">COMPOSIÇÃO 1</t>
  </si>
  <si>
    <t xml:space="preserve">ADMINISTRAÇÃO LOCAL</t>
  </si>
  <si>
    <t xml:space="preserve">%</t>
  </si>
  <si>
    <t xml:space="preserve">TOTAL GERAL DA OBRA COM BDI  &gt;&gt;&gt;&gt;&gt;</t>
  </si>
  <si>
    <t xml:space="preserve">RAZÃO SOCIAL: VIVA CONSTRUÇÕES E SERVIÇOS LTDA</t>
  </si>
  <si>
    <t xml:space="preserve">CLIENTE:</t>
  </si>
  <si>
    <t xml:space="preserve">Prefeitura Municipal de Sorocaba</t>
  </si>
  <si>
    <t xml:space="preserve">CNPJ: 08.756.015/0001-96</t>
  </si>
  <si>
    <t xml:space="preserve">CONTRATO: 446/2022</t>
  </si>
  <si>
    <t xml:space="preserve">PROCESSO: </t>
  </si>
  <si>
    <t xml:space="preserve">END.: AV. PEREIRA DA SILVA, 365, SANTA ROSÁLIA - SOROCABA/SP</t>
  </si>
  <si>
    <t xml:space="preserve">OBRA: CONSTRUÇÃO DE UM SISTEMA DE MACRODRENAGEM - JD. NILTON TORRES</t>
  </si>
  <si>
    <t xml:space="preserve">ENG. PREPOSTO: FÁBIO PILÃO</t>
  </si>
  <si>
    <t xml:space="preserve">LOCAL: BAIRRO NILTON TORRES</t>
  </si>
  <si>
    <t xml:space="preserve">MEMÓRIA DE CALCULO</t>
  </si>
  <si>
    <t xml:space="preserve">49,50*28,95 = 1433,10</t>
  </si>
  <si>
    <t xml:space="preserve">165,80*28,95 = 4800,00</t>
  </si>
  <si>
    <t xml:space="preserve">ESCAVAÇÃO DE SOLO </t>
  </si>
  <si>
    <t xml:space="preserve">134,63*28,95*0,40 = 1558,99</t>
  </si>
  <si>
    <t xml:space="preserve">TRANSPORTE DE SOLO</t>
  </si>
  <si>
    <t xml:space="preserve">1600M³ *2,00KM = 3200,00</t>
  </si>
  <si>
    <t xml:space="preserve">TERRAPLANAGEM - COMPACTAÇÃO</t>
  </si>
  <si>
    <t xml:space="preserve">ESCADA 01</t>
  </si>
  <si>
    <t xml:space="preserve">(26,95*2,00*0,4453)*4,00 = 96,00</t>
  </si>
  <si>
    <t xml:space="preserve">ESCADA 02</t>
  </si>
  <si>
    <t xml:space="preserve">ESCADA 03</t>
  </si>
  <si>
    <t xml:space="preserve">TOTAL UTILIZADO </t>
  </si>
  <si>
    <t xml:space="preserve">CONCRETO</t>
  </si>
  <si>
    <t xml:space="preserve">VIGA BALDRAME</t>
  </si>
  <si>
    <t xml:space="preserve">ESPELHO</t>
  </si>
  <si>
    <t xml:space="preserve">ESCADA 01 = 0,15*0,20*(10,20+10,20+1,50+1,50+1,50+1,50) = 0,79</t>
  </si>
  <si>
    <t xml:space="preserve">ESCADA 01 = (2,00larg.*1,50altura*0,20espess.)*3 unidades = 1,80 m³</t>
  </si>
  <si>
    <t xml:space="preserve">ESCADA 02 = 0,15*0,20*(15,70+15,70+6,00) = 1,12</t>
  </si>
  <si>
    <t xml:space="preserve">ESCADA 02 = (2,00larg.*1,50altura*0,20espess.)*4 unidades = 2,40 m³</t>
  </si>
  <si>
    <t xml:space="preserve">FORMA UTILIZADA</t>
  </si>
  <si>
    <t xml:space="preserve">ESCADA 03 = (2,00larg.*1,50altura*0,20espess.)*5 unidades = 3,00 m³</t>
  </si>
  <si>
    <t xml:space="preserve">FUNDAÇÃO</t>
  </si>
  <si>
    <t xml:space="preserve">BASE</t>
  </si>
  <si>
    <t xml:space="preserve">BROCAS</t>
  </si>
  <si>
    <t xml:space="preserve">ESCADA 01 = (0,60h*(10,20+10,20+1,50+1,50+1,50+1,50)ml)*2,00 Lados = 52,80 M²</t>
  </si>
  <si>
    <t xml:space="preserve">ESCADA 01 = 10,20compr.*2,00arg.*0,20espessura = 4,08m³</t>
  </si>
  <si>
    <t xml:space="preserve">ESCADA 01 - (7,00un*1,90h)*3,00 lance = 39,90m*(PI()*0,15^2) = 2,82 m³</t>
  </si>
  <si>
    <t xml:space="preserve">ESCADA 02 = (0,60h*(15,70+15,70+1,50+1,50+1,50+1,50)ml)*2,00 Lados = 44,88 M²</t>
  </si>
  <si>
    <t xml:space="preserve">ESCADA 02 = 15,70compr.*2,00larg.*0,20espessura = 6,28 m³</t>
  </si>
  <si>
    <t xml:space="preserve">ESCADA 02 - (8,00un*1,90h)*4,00 lance = 60,80m*(PI()*0,15^2) = 4,30 m³</t>
  </si>
  <si>
    <t xml:space="preserve">ESCADA 03 = (17,10*2,00largura)*0,20espessura = 6,84 m³</t>
  </si>
  <si>
    <t xml:space="preserve">ESCADA 03 - (45,00un*1,90h) = 85,50m*(PI()*0,15^2) = 6,05 m³</t>
  </si>
  <si>
    <t xml:space="preserve">ESCADA 01 = (1,50*1,80)*3,00 = 8,10 M²</t>
  </si>
  <si>
    <t xml:space="preserve">LATERAL</t>
  </si>
  <si>
    <t xml:space="preserve">ESCADA 02 = (1,50*1,80)*4,00 = 10,80 M²</t>
  </si>
  <si>
    <t xml:space="preserve">ESCADA 01 = (10,20m*1,20h)*0,20espessura = 2,45 m³</t>
  </si>
  <si>
    <t xml:space="preserve">ESCADA 03 = (1,50*1,80)*5,00 = 13,50 M²</t>
  </si>
  <si>
    <t xml:space="preserve">ESCADA 02 = (15,70m*1,20h)*0,20espessura = 3,77 m³</t>
  </si>
  <si>
    <t xml:space="preserve">SUPERESTRUTURA</t>
  </si>
  <si>
    <t xml:space="preserve">ESCADA 03 = (17,10m*1,20h)*0,20espessura = 4,10 m³</t>
  </si>
  <si>
    <t xml:space="preserve">;</t>
  </si>
  <si>
    <t xml:space="preserve">ESCADA 01 = (10,20ml*1,40h)*4,00formas)*2,00 = 114,24 M²</t>
  </si>
  <si>
    <t xml:space="preserve">ESCADA 02 = (15,70ml*1,40h)*4,00formas)+(18,12*2,00) = 124,16 M²</t>
  </si>
  <si>
    <t xml:space="preserve">ESCADA 03 = (17,10ml*1,40h)*4,00 formas)*2,00 = 191,52 M²</t>
  </si>
  <si>
    <t xml:space="preserve">TOTAL DE CONCRETO REALIZADO</t>
  </si>
  <si>
    <t xml:space="preserve">0,79+1,12+4,08+6,28+6,84+2,45+3,77+4,1+1,8+2,4+3+2,82+4,3+6,05 = 50,00</t>
  </si>
  <si>
    <t xml:space="preserve">TOTAL DE FORMA REALIZADO</t>
  </si>
  <si>
    <t xml:space="preserve">52,8+44,88+8,1+10,8+13,5+114,24+124,16+191,52 = 560,00</t>
  </si>
  <si>
    <t xml:space="preserve">AÇO REALIZADO IN LOCO</t>
  </si>
  <si>
    <t xml:space="preserve">VIGA BALDRAME </t>
  </si>
  <si>
    <t xml:space="preserve">ESCADA 01 </t>
  </si>
  <si>
    <t xml:space="preserve">TABELA DE KG DE VERGALHÃO DE AÇO</t>
  </si>
  <si>
    <t xml:space="preserve">    Vergalhao = (4 fi de 1/2" * 10,20)*2,00lados = 81,60m*0,963kg/m = 78,58kg</t>
  </si>
  <si>
    <t xml:space="preserve">Vertical (21 fi de 1/2")*1,20compri*3,00 lances * 2,00 lados = 151,20m*0,963kg/m = 145,61kg</t>
  </si>
  <si>
    <t xml:space="preserve">Vertical (22 fi de 1/2")*2,00compri*3,00 lances = 132,00m*0,963kg/m = 127,12kg</t>
  </si>
  <si>
    <t xml:space="preserve">1/4"</t>
  </si>
  <si>
    <t xml:space="preserve">0,245kg/m</t>
  </si>
  <si>
    <t xml:space="preserve">    Estribo c/ 15 = 136un*(0,10+0,20+0,10+0,20)ml = 81,60m*0,245kg/m = 19,99kg</t>
  </si>
  <si>
    <t xml:space="preserve">Horizontal (17 fi de 1/2")*10,20compri.*2,00lados  = 346,80m*0,963kg/m =333,97kg</t>
  </si>
  <si>
    <t xml:space="preserve">Horizontal (17 fi de 1/2")*10,20compri  = 173,40m*0,963kg/m = 166,98kg</t>
  </si>
  <si>
    <t xml:space="preserve">3/8"</t>
  </si>
  <si>
    <t xml:space="preserve">0,617kg/m</t>
  </si>
  <si>
    <t xml:space="preserve">ESCADA 02 </t>
  </si>
  <si>
    <t xml:space="preserve">1/2"</t>
  </si>
  <si>
    <t xml:space="preserve">0,963kg/m</t>
  </si>
  <si>
    <t xml:space="preserve">    Vergalhao = (4 fi de 1/2" * 15,70)*2,00lados = 125,60*0,963kg/m = 120,95kg</t>
  </si>
  <si>
    <t xml:space="preserve">Vertical (21 fi de 1/2")*1,20compri*4,00 lances * 2,00 lados = 201,60m*0,963kg/m = 194,14kg</t>
  </si>
  <si>
    <t xml:space="preserve">Vertical (25 fi de 1/2")*2,00compri*4,00 lances = 200,00m*0,963kg/m =192,60kg</t>
  </si>
  <si>
    <t xml:space="preserve">MALHA Q138</t>
  </si>
  <si>
    <t xml:space="preserve">2,20kg/m²</t>
  </si>
  <si>
    <t xml:space="preserve">    Estribo c/ 15 = 210un*(0,10+0,20+0,10+0,20)ml = 126,00m*0,245kg/m = 30,87kg</t>
  </si>
  <si>
    <t xml:space="preserve">Horizontal (16 fi de 1/2")*15,70compri.*2,00lados  = 502,40m*0,963kg/m = 483,81kg</t>
  </si>
  <si>
    <t xml:space="preserve">Horizontal (19 fi de 1/2")*15,70compri  = 298,30m*0,963kg/m = 287,26kg</t>
  </si>
  <si>
    <t xml:space="preserve">PILARES</t>
  </si>
  <si>
    <t xml:space="preserve">ESCADA 01 = (42 vergalhões em cada base*1,20h)*3 lances = 151,20ml*0,617kg/m = 93,29kg</t>
  </si>
  <si>
    <t xml:space="preserve">Vertical (25 fi de 1/2")*2,00compri*5,00 lances = 250,00m*0,963kg/m = 240,75kg</t>
  </si>
  <si>
    <t xml:space="preserve">ESCADA 02 = (42 vergalhões em cada base*1,20h)*4 lances = 201,60ml*0,617kg/m = 124,39kg</t>
  </si>
  <si>
    <t xml:space="preserve">Horizontal (18 fi de 1/2")*17,10compri.*2,00lados  = 615,60m*0,963kg/m = 592,82kg</t>
  </si>
  <si>
    <t xml:space="preserve">Horizontal (19 fi de 1/2")*17,10compri = 324,90m*0,963kg/m = 312,88Kg</t>
  </si>
  <si>
    <t xml:space="preserve">    Vergalhao = (58 pontos com 4 fi de 1/2")*1,20compri. = 278,40m*0,963kg/m = 286,10kg</t>
  </si>
  <si>
    <t xml:space="preserve">ESCADA 01 = (42 vergalhões em cada base*2,20h)*3 lances = 277,20ml*0,617kg/m = 171,03kg</t>
  </si>
  <si>
    <t xml:space="preserve">    Estribo c/ 15 = 464un*0,63m = 292,32m*0,245kg/m = 71,62kg</t>
  </si>
  <si>
    <t xml:space="preserve">ESCADA 02 = (42 vergalhões em cada base*2,20h)*4 lances = 369,60ml*0,617kg/m = 228,04kg+0,65kg(arranque) = 228,69kg</t>
  </si>
  <si>
    <t xml:space="preserve">ESPELHO E BASE</t>
  </si>
  <si>
    <t xml:space="preserve">TOTAL DE AÇO REALIZADO</t>
  </si>
  <si>
    <t xml:space="preserve">ESCADA 01 = ((3,40+1,20)*3,00)Perimetro*2,00largura)*2,00telas =   55,20m² x 2,20kg/m² = 121,44kg</t>
  </si>
  <si>
    <t xml:space="preserve">    Vergalhao = (58 pontos com 4 fi de 1/2")*2,80compri. = 649,60m*0,963kg/m = 625,56kg</t>
  </si>
  <si>
    <t xml:space="preserve">78,58+19,99+120,95+30,87+93,29+124,39+286,1+71,62+121,44+147,84+202,4+145,61+333,97+194,14+483,81+194,14+592,82+171,03+228,69+625,56+167,16+127,12+166,98+192,6+287,26+240,75+312,88 = 5761,99</t>
  </si>
  <si>
    <t xml:space="preserve">ESCADA 02 = ((3,00+1,20)*4,00)Perimetro*2,00largura)*2,00telas =   67,20m² x 2,20kg/m2 = 147,84kg</t>
  </si>
  <si>
    <t xml:space="preserve">    Estribo c/ 15 = 1083un*0,63m = 682,29m*0,245kg/m = 167,16kg</t>
  </si>
  <si>
    <t xml:space="preserve">ESCADA 03 = ((3,40+1,20)*5,00)Perimetro*1,50largura)*2,00telas =   92,00m² x 2,20kg/m² = 202,40kg</t>
  </si>
  <si>
    <t xml:space="preserve">VALOR ADMINISTRAÇÃO LOCAL</t>
  </si>
  <si>
    <t xml:space="preserve">VALOR DE MEDIÇÃO</t>
  </si>
  <si>
    <t xml:space="preserve">VALOR CONTRATUAL SEM BDI</t>
  </si>
  <si>
    <t xml:space="preserve">QUANTIDADE DE ADM LOCAL</t>
  </si>
  <si>
    <t xml:space="preserve">185.789,39/549.340,52 = 0,3382044</t>
  </si>
  <si>
    <t xml:space="preserve">CRONOGRAMA FÍSICO-FINANCEIRO                                    </t>
  </si>
  <si>
    <t xml:space="preserve">ITEM</t>
  </si>
  <si>
    <t xml:space="preserve">DESCRIÇÃO</t>
  </si>
  <si>
    <t xml:space="preserve">VALOR R$ COM BDI</t>
  </si>
  <si>
    <t xml:space="preserve">ANUAL</t>
  </si>
  <si>
    <t xml:space="preserve">1° Medição</t>
  </si>
  <si>
    <t xml:space="preserve">2° Medição</t>
  </si>
  <si>
    <t xml:space="preserve">3° Medição</t>
  </si>
  <si>
    <t xml:space="preserve">4° Medição</t>
  </si>
  <si>
    <t xml:space="preserve">1º MÊS</t>
  </si>
  <si>
    <t xml:space="preserve">2º MÊS</t>
  </si>
  <si>
    <t xml:space="preserve">3º MÊS</t>
  </si>
  <si>
    <t xml:space="preserve">4º MÊS</t>
  </si>
  <si>
    <t xml:space="preserve">5º MÊS</t>
  </si>
  <si>
    <t xml:space="preserve">6º MÊS</t>
  </si>
  <si>
    <t xml:space="preserve">1.0</t>
  </si>
  <si>
    <t xml:space="preserve">SERVIÇOS PRELIMINARES</t>
  </si>
  <si>
    <t xml:space="preserve">SERVIÇOS DE DRENAGEM E ÁGUAS PLUVIAIS</t>
  </si>
  <si>
    <t xml:space="preserve">TOTAL MENSAL</t>
  </si>
  <si>
    <t xml:space="preserve">TOTAL ACUMULADO</t>
  </si>
  <si>
    <t xml:space="preserve">SOROCABA, 27 DE OUTUBRO DE 2022.</t>
  </si>
  <si>
    <t xml:space="preserve">VIVA CONSTRUÇÕES E SERVIÇOS LTDA
RESPONSÁVEL LEGAL
ARISTIDES AUGUSTO MOREIRA NETO
RG: 12.528.203-5 / CPF: 021.817.838-70</t>
  </si>
  <si>
    <t xml:space="preserve">VIVA CONSTRUÇÕES E SERVIÇOS LTDA
RESPONSÁVEL TÉCNICO
FABIO MOREIRA PILÃO
ENGENHEIRO CIVIL - CREA-SP: 5060842799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</si>
</sst>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#,##0.00\ ;\-#,##0.00\ ;&quot; -&quot;#\ ;@\ "/>
    <numFmt numFmtId="168" formatCode="0.00"/>
    <numFmt numFmtId="169" formatCode="@"/>
    <numFmt numFmtId="170" formatCode="0%"/>
    <numFmt numFmtId="171" formatCode="0.00000"/>
    <numFmt numFmtId="172" formatCode="0.0000000"/>
    <numFmt numFmtId="173" formatCode="0.00%"/>
    <numFmt numFmtId="174" formatCode="0.000%"/>
    <numFmt numFmtId="175" formatCode="&quot;R$ &quot;#,##0.00"/>
    <numFmt numFmtId="176" formatCode="_-&quot;R$ &quot;* #,##0.0000_-;&quot;-R$ &quot;* #,##0.0000_-;_-&quot;R$ &quot;* \-??_-;_-@_-"/>
    <numFmt numFmtId="177" formatCode="#,##0.00"/>
    <numFmt numFmtId="178" formatCode="General"/>
    <numFmt numFmtId="179" formatCode="#,##0.00;[RED]#,##0.00"/>
    <numFmt numFmtId="180" formatCode="_-&quot;R$ &quot;* #,##0.0000000000_-;&quot;-R$ &quot;* #,##0.0000000000_-;_-&quot;R$ &quot;* \-??_-;_-@_-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angal"/>
      <family val="2"/>
      <charset val="1"/>
    </font>
    <font>
      <sz val="14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name val="Arial"/>
      <family val="2"/>
      <charset val="1"/>
    </font>
    <font>
      <sz val="14"/>
      <color rgb="FFFF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1"/>
      <name val="Arial"/>
      <family val="2"/>
      <charset val="1"/>
    </font>
    <font>
      <sz val="16"/>
      <name val="Arial"/>
      <family val="2"/>
      <charset val="1"/>
    </font>
    <font>
      <sz val="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</font>
    <font>
      <sz val="10"/>
      <name val="Calibri"/>
      <family val="2"/>
      <charset val="1"/>
    </font>
    <font>
      <b val="true"/>
      <sz val="8"/>
      <color rgb="FFFF0000"/>
      <name val="Calibri"/>
      <family val="2"/>
      <charset val="1"/>
    </font>
    <font>
      <b val="true"/>
      <sz val="10"/>
      <name val="Calibri"/>
      <family val="2"/>
      <charset val="1"/>
    </font>
    <font>
      <sz val="8"/>
      <name val="Calibri"/>
      <family val="2"/>
      <charset val="1"/>
    </font>
    <font>
      <b val="true"/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4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D9D9D9"/>
        <bgColor rgb="FFDDD9C4"/>
      </patternFill>
    </fill>
    <fill>
      <patternFill patternType="solid">
        <fgColor rgb="FFFFFFFF"/>
        <bgColor rgb="FFF2F2F2"/>
      </patternFill>
    </fill>
    <fill>
      <patternFill patternType="solid">
        <fgColor rgb="FFFFFF80"/>
        <bgColor rgb="FFCCFFCC"/>
      </patternFill>
    </fill>
    <fill>
      <patternFill patternType="solid">
        <fgColor rgb="FFDDD9C4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C0C0C0"/>
        <bgColor rgb="FFBFBFBF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2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1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3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3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3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3" borderId="1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3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3" borderId="1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3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2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4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4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1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4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12" xfId="24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2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4" borderId="1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2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2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5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7" fontId="0" fillId="4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30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16" fillId="4" borderId="3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16" fillId="4" borderId="28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distributed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4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8" fontId="18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5" fillId="4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7" fontId="20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7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5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0" xfId="25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4" borderId="0" xfId="2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4" borderId="34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0" xfId="25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3" fillId="4" borderId="0" xfId="2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3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25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0" xfId="2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2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6" borderId="3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1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7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37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3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1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1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4" fillId="4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3" fillId="4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4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4" borderId="1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4" fillId="5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9" fontId="23" fillId="0" borderId="12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3" fontId="24" fillId="4" borderId="1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3" fillId="4" borderId="3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3" fillId="4" borderId="4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23" fillId="4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4" borderId="1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15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7" fontId="24" fillId="8" borderId="12" xfId="25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0" fontId="24" fillId="5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4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4" borderId="1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4" borderId="39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4" fillId="4" borderId="3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4" borderId="15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23" fillId="4" borderId="12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4" borderId="12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4" fillId="4" borderId="4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4" fillId="4" borderId="4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5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4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4" borderId="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4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8" fillId="4" borderId="0" xfId="2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7" fontId="29" fillId="4" borderId="0" xfId="21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30" fillId="4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4" borderId="25" xfId="25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31" fillId="4" borderId="25" xfId="23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" xfId="20"/>
    <cellStyle name="Normal 3" xfId="21"/>
    <cellStyle name="Vírgula 2" xfId="22"/>
    <cellStyle name="Vírgula 3" xfId="23"/>
    <cellStyle name="Excel Built-in Normal" xfId="24"/>
    <cellStyle name="Excel Built-in Normal 2" xfId="25"/>
  </cellStyles>
  <dxfs count="5">
    <dxf>
      <fill>
        <patternFill patternType="solid">
          <fgColor rgb="FFBFBFBF"/>
        </patternFill>
      </fill>
    </dxf>
    <dxf>
      <fill>
        <patternFill patternType="solid">
          <fgColor rgb="FFD9D9D9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80"/>
      <rgbColor rgb="FFBFBFBF"/>
      <rgbColor rgb="FFFF99CC"/>
      <rgbColor rgb="FFCC99FF"/>
      <rgbColor rgb="FFDDD9C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741600</xdr:colOff>
      <xdr:row>1</xdr:row>
      <xdr:rowOff>47520</xdr:rowOff>
    </xdr:from>
    <xdr:to>
      <xdr:col>21</xdr:col>
      <xdr:colOff>178200</xdr:colOff>
      <xdr:row>6</xdr:row>
      <xdr:rowOff>190800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7915760" y="276120"/>
          <a:ext cx="4315320" cy="1286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331560</xdr:colOff>
      <xdr:row>2</xdr:row>
      <xdr:rowOff>11880</xdr:rowOff>
    </xdr:from>
    <xdr:to>
      <xdr:col>2</xdr:col>
      <xdr:colOff>1064520</xdr:colOff>
      <xdr:row>3</xdr:row>
      <xdr:rowOff>299880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1762920" y="450000"/>
          <a:ext cx="1327320" cy="54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167040</xdr:colOff>
      <xdr:row>16</xdr:row>
      <xdr:rowOff>83160</xdr:rowOff>
    </xdr:from>
    <xdr:to>
      <xdr:col>3</xdr:col>
      <xdr:colOff>4464720</xdr:colOff>
      <xdr:row>32</xdr:row>
      <xdr:rowOff>172800</xdr:rowOff>
    </xdr:to>
    <xdr:pic>
      <xdr:nvPicPr>
        <xdr:cNvPr id="2" name="Imagem 13" descr=""/>
        <xdr:cNvPicPr/>
      </xdr:nvPicPr>
      <xdr:blipFill>
        <a:blip r:embed="rId2"/>
        <a:srcRect l="0" t="0" r="31221" b="0"/>
        <a:stretch/>
      </xdr:blipFill>
      <xdr:spPr>
        <a:xfrm rot="5400000">
          <a:off x="3275640" y="4101480"/>
          <a:ext cx="3270960" cy="6625440"/>
        </a:xfrm>
        <a:prstGeom prst="rect">
          <a:avLst/>
        </a:prstGeom>
        <a:ln w="0">
          <a:solidFill>
            <a:srgbClr val="4472c4"/>
          </a:solidFill>
        </a:ln>
      </xdr:spPr>
    </xdr:pic>
    <xdr:clientData/>
  </xdr:twoCellAnchor>
  <xdr:twoCellAnchor editAs="oneCell">
    <xdr:from>
      <xdr:col>2</xdr:col>
      <xdr:colOff>484920</xdr:colOff>
      <xdr:row>31</xdr:row>
      <xdr:rowOff>11880</xdr:rowOff>
    </xdr:from>
    <xdr:to>
      <xdr:col>3</xdr:col>
      <xdr:colOff>3549600</xdr:colOff>
      <xdr:row>32</xdr:row>
      <xdr:rowOff>91440</xdr:rowOff>
    </xdr:to>
    <xdr:sp>
      <xdr:nvSpPr>
        <xdr:cNvPr id="3" name="CaixaDeTexto 14"/>
        <xdr:cNvSpPr/>
      </xdr:nvSpPr>
      <xdr:spPr>
        <a:xfrm>
          <a:off x="2510640" y="8708040"/>
          <a:ext cx="4798080" cy="260640"/>
        </a:xfrm>
        <a:prstGeom prst="rect">
          <a:avLst/>
        </a:prstGeom>
        <a:solidFill>
          <a:srgbClr val="ffffff"/>
        </a:solidFill>
        <a:ln w="0">
          <a:solidFill>
            <a:srgbClr val="4472c4"/>
          </a:solidFill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1" lang="pt-BR" sz="1200" spc="-1" strike="noStrike">
              <a:solidFill>
                <a:srgbClr val="000000"/>
              </a:solidFill>
              <a:latin typeface="Arial"/>
            </a:rPr>
            <a:t>AREA DE INTERVENÇÃO PARA A REALIZAÇÃO DAS ESCADAS</a:t>
          </a:r>
          <a:endParaRPr b="0" lang="pt-BR" sz="1200" spc="-1" strike="noStrike">
            <a:latin typeface="Times New Roman"/>
          </a:endParaRPr>
        </a:p>
      </xdr:txBody>
    </xdr:sp>
    <xdr:clientData/>
  </xdr:twoCellAnchor>
  <xdr:twoCellAnchor editAs="oneCell">
    <xdr:from>
      <xdr:col>6</xdr:col>
      <xdr:colOff>571320</xdr:colOff>
      <xdr:row>64</xdr:row>
      <xdr:rowOff>250200</xdr:rowOff>
    </xdr:from>
    <xdr:to>
      <xdr:col>7</xdr:col>
      <xdr:colOff>1892520</xdr:colOff>
      <xdr:row>70</xdr:row>
      <xdr:rowOff>513360</xdr:rowOff>
    </xdr:to>
    <xdr:pic>
      <xdr:nvPicPr>
        <xdr:cNvPr id="4" name="Imagem 6" descr=""/>
        <xdr:cNvPicPr/>
      </xdr:nvPicPr>
      <xdr:blipFill>
        <a:blip r:embed="rId3"/>
        <a:stretch/>
      </xdr:blipFill>
      <xdr:spPr>
        <a:xfrm>
          <a:off x="12857760" y="21471840"/>
          <a:ext cx="3408120" cy="338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2797920</xdr:colOff>
      <xdr:row>50</xdr:row>
      <xdr:rowOff>47520</xdr:rowOff>
    </xdr:from>
    <xdr:to>
      <xdr:col>6</xdr:col>
      <xdr:colOff>1380600</xdr:colOff>
      <xdr:row>55</xdr:row>
      <xdr:rowOff>271440</xdr:rowOff>
    </xdr:to>
    <xdr:pic>
      <xdr:nvPicPr>
        <xdr:cNvPr id="5" name="Imagem 7" descr=""/>
        <xdr:cNvPicPr/>
      </xdr:nvPicPr>
      <xdr:blipFill>
        <a:blip r:embed="rId4"/>
        <a:stretch/>
      </xdr:blipFill>
      <xdr:spPr>
        <a:xfrm>
          <a:off x="6557040" y="15116040"/>
          <a:ext cx="7110000" cy="2490840"/>
        </a:xfrm>
        <a:prstGeom prst="rect">
          <a:avLst/>
        </a:prstGeom>
        <a:ln w="0">
          <a:solidFill>
            <a:srgbClr val="4472c4"/>
          </a:solidFill>
        </a:ln>
      </xdr:spPr>
    </xdr:pic>
    <xdr:clientData/>
  </xdr:twoCellAnchor>
  <xdr:twoCellAnchor editAs="oneCell">
    <xdr:from>
      <xdr:col>4</xdr:col>
      <xdr:colOff>583560</xdr:colOff>
      <xdr:row>43</xdr:row>
      <xdr:rowOff>226080</xdr:rowOff>
    </xdr:from>
    <xdr:to>
      <xdr:col>6</xdr:col>
      <xdr:colOff>1666800</xdr:colOff>
      <xdr:row>49</xdr:row>
      <xdr:rowOff>303120</xdr:rowOff>
    </xdr:to>
    <xdr:pic>
      <xdr:nvPicPr>
        <xdr:cNvPr id="6" name="Imagem 8" descr=""/>
        <xdr:cNvPicPr/>
      </xdr:nvPicPr>
      <xdr:blipFill>
        <a:blip r:embed="rId5"/>
        <a:stretch/>
      </xdr:blipFill>
      <xdr:spPr>
        <a:xfrm>
          <a:off x="9715320" y="12189600"/>
          <a:ext cx="4237920" cy="2696400"/>
        </a:xfrm>
        <a:prstGeom prst="rect">
          <a:avLst/>
        </a:prstGeom>
        <a:ln w="0">
          <a:solidFill>
            <a:srgbClr val="4472c4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76320</xdr:rowOff>
    </xdr:from>
    <xdr:to>
      <xdr:col>1</xdr:col>
      <xdr:colOff>1231920</xdr:colOff>
      <xdr:row>3</xdr:row>
      <xdr:rowOff>129240</xdr:rowOff>
    </xdr:to>
    <xdr:pic>
      <xdr:nvPicPr>
        <xdr:cNvPr id="7" name="Imagem 5" descr=""/>
        <xdr:cNvPicPr/>
      </xdr:nvPicPr>
      <xdr:blipFill>
        <a:blip r:embed="rId1"/>
        <a:stretch/>
      </xdr:blipFill>
      <xdr:spPr>
        <a:xfrm>
          <a:off x="114480" y="76320"/>
          <a:ext cx="1581120" cy="50076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1%20-%20OBRAS%20E%20SERVI&#199;OS/SOROCABA/CP%20017.2021%20-%20MACRODRENAGEM%20NO%20BAIRRO%20NILTON%20TORRES/Edital%20e%20Planilha/Planilha%20Or&#231;amentaria%20e%20Cronograma%20(UTILIZADO)%20CP%2017.202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C:/1%20-%20OBRAS%20E%20SERVI&#199;OS/SOROCABA/CP%20017.2021%20-%20MACRODRENAGEM%20NO%20BAIRRO%20NILTON%20TORRES/Medi&#231;&#227;o/Medi&#231;&#227;o%2002/Medi.%2002%20-%20Macrodrenagem%20Nilton%20Torre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CRONOGRAMA"/>
    </sheetNames>
    <sheetDataSet>
      <sheetData sheetId="0">
        <row r="13">
          <cell r="H13">
            <v>53960.68</v>
          </cell>
        </row>
        <row r="19">
          <cell r="H19">
            <v>14282.7</v>
          </cell>
        </row>
        <row r="27">
          <cell r="H27">
            <v>42288</v>
          </cell>
        </row>
        <row r="39">
          <cell r="H39">
            <v>400105.59</v>
          </cell>
        </row>
        <row r="47">
          <cell r="H47">
            <v>38703.55</v>
          </cell>
        </row>
        <row r="51">
          <cell r="G51">
            <v>10876.94</v>
          </cell>
        </row>
        <row r="54">
          <cell r="H54">
            <v>715625.89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ilha2"/>
      <sheetName val="Memória"/>
    </sheetNames>
    <sheetDataSet>
      <sheetData sheetId="0">
        <row r="17">
          <cell r="N17">
            <v>23206.63</v>
          </cell>
        </row>
        <row r="22">
          <cell r="N22">
            <v>1426.37</v>
          </cell>
        </row>
        <row r="29">
          <cell r="N29">
            <v>674.34</v>
          </cell>
        </row>
        <row r="40">
          <cell r="N40">
            <v>543.79</v>
          </cell>
        </row>
        <row r="51">
          <cell r="N51">
            <v>511.85</v>
          </cell>
        </row>
      </sheetData>
      <sheetData sheetId="1"/>
      <sheetData sheetId="2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3:HQ6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F38" activeCellId="0" sqref="F38"/>
    </sheetView>
  </sheetViews>
  <sheetFormatPr defaultColWidth="11.58984375" defaultRowHeight="18" zeroHeight="false" outlineLevelRow="0" outlineLevelCol="0"/>
  <cols>
    <col collapsed="false" customWidth="true" hidden="false" outlineLevel="0" max="1" min="1" style="1" width="12.29"/>
    <col collapsed="false" customWidth="true" hidden="false" outlineLevel="0" max="2" min="2" style="1" width="18.14"/>
    <col collapsed="false" customWidth="true" hidden="false" outlineLevel="0" max="3" min="3" style="1" width="19.57"/>
    <col collapsed="false" customWidth="true" hidden="false" outlineLevel="0" max="4" min="4" style="2" width="71.42"/>
    <col collapsed="false" customWidth="true" hidden="false" outlineLevel="0" max="5" min="5" style="1" width="10.58"/>
    <col collapsed="false" customWidth="true" hidden="false" outlineLevel="0" max="6" min="6" style="3" width="14.57"/>
    <col collapsed="false" customWidth="true" hidden="false" outlineLevel="0" max="7" min="7" style="4" width="19.71"/>
    <col collapsed="false" customWidth="true" hidden="false" outlineLevel="0" max="8" min="8" style="4" width="21.71"/>
    <col collapsed="false" customWidth="true" hidden="false" outlineLevel="0" max="9" min="9" style="3" width="14.86"/>
    <col collapsed="false" customWidth="true" hidden="false" outlineLevel="0" max="10" min="10" style="4" width="21.14"/>
    <col collapsed="false" customWidth="true" hidden="true" outlineLevel="0" max="11" min="11" style="3" width="13.01"/>
    <col collapsed="false" customWidth="true" hidden="true" outlineLevel="0" max="12" min="12" style="5" width="19.42"/>
    <col collapsed="false" customWidth="true" hidden="true" outlineLevel="0" max="13" min="13" style="3" width="13.01"/>
    <col collapsed="false" customWidth="true" hidden="true" outlineLevel="0" max="14" min="14" style="5" width="19.99"/>
    <col collapsed="false" customWidth="true" hidden="true" outlineLevel="0" max="15" min="15" style="5" width="18"/>
    <col collapsed="false" customWidth="true" hidden="true" outlineLevel="0" max="16" min="16" style="5" width="19.99"/>
    <col collapsed="false" customWidth="true" hidden="false" outlineLevel="0" max="17" min="17" style="5" width="19.42"/>
    <col collapsed="false" customWidth="true" hidden="false" outlineLevel="0" max="18" min="18" style="5" width="21.71"/>
    <col collapsed="false" customWidth="true" hidden="false" outlineLevel="0" max="19" min="19" style="3" width="13.01"/>
    <col collapsed="false" customWidth="true" hidden="false" outlineLevel="0" max="20" min="20" style="5" width="21.43"/>
    <col collapsed="false" customWidth="true" hidden="false" outlineLevel="0" max="21" min="21" style="3" width="13.01"/>
    <col collapsed="false" customWidth="true" hidden="false" outlineLevel="0" max="22" min="22" style="5" width="21.71"/>
    <col collapsed="false" customWidth="true" hidden="false" outlineLevel="0" max="24" min="23" style="6" width="19.99"/>
    <col collapsed="false" customWidth="true" hidden="false" outlineLevel="0" max="224" min="25" style="6" width="9.14"/>
    <col collapsed="false" customWidth="false" hidden="false" outlineLevel="0" max="1024" min="225" style="7" width="11.57"/>
  </cols>
  <sheetData>
    <row r="3" customFormat="false" ht="18" hidden="false" customHeight="false" outlineLevel="0" collapsed="false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8"/>
      <c r="O3" s="8"/>
      <c r="P3" s="8"/>
      <c r="Q3" s="8"/>
      <c r="R3" s="8"/>
      <c r="S3" s="9"/>
      <c r="T3" s="8"/>
    </row>
    <row r="4" customFormat="false" ht="18" hidden="false" customHeight="true" outlineLevel="0" collapsed="false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1"/>
      <c r="T4" s="10"/>
    </row>
    <row r="5" customFormat="false" ht="18" hidden="false" customHeight="true" outlineLevel="0" collapsed="false">
      <c r="A5" s="12" t="s">
        <v>1</v>
      </c>
      <c r="B5" s="12"/>
      <c r="C5" s="12"/>
      <c r="D5" s="12"/>
      <c r="E5" s="7"/>
    </row>
    <row r="6" customFormat="false" ht="18" hidden="false" customHeight="true" outlineLevel="0" collapsed="false">
      <c r="A6" s="12" t="s">
        <v>2</v>
      </c>
      <c r="B6" s="12"/>
      <c r="C6" s="12"/>
      <c r="D6" s="12"/>
      <c r="E6" s="13"/>
    </row>
    <row r="7" customFormat="false" ht="18" hidden="false" customHeight="false" outlineLevel="0" collapsed="false">
      <c r="A7" s="14" t="s">
        <v>3</v>
      </c>
      <c r="B7" s="14"/>
      <c r="C7" s="14"/>
      <c r="D7" s="14"/>
      <c r="E7" s="13"/>
    </row>
    <row r="8" customFormat="false" ht="18.75" hidden="false" customHeight="true" outlineLevel="0" collapsed="false">
      <c r="A8" s="15" t="s">
        <v>4</v>
      </c>
      <c r="B8" s="15"/>
      <c r="C8" s="15"/>
      <c r="D8" s="15"/>
      <c r="E8" s="13"/>
      <c r="F8" s="16"/>
      <c r="G8" s="17"/>
      <c r="H8" s="17"/>
      <c r="I8" s="16"/>
      <c r="J8" s="17"/>
      <c r="K8" s="16"/>
      <c r="L8" s="17"/>
      <c r="M8" s="16"/>
      <c r="N8" s="17"/>
      <c r="O8" s="17"/>
      <c r="P8" s="17"/>
      <c r="Q8" s="17"/>
      <c r="R8" s="17"/>
      <c r="S8" s="16"/>
      <c r="T8" s="17"/>
    </row>
    <row r="9" s="29" customFormat="true" ht="18" hidden="false" customHeight="false" outlineLevel="0" collapsed="false">
      <c r="A9" s="18"/>
      <c r="B9" s="19"/>
      <c r="C9" s="19"/>
      <c r="D9" s="20"/>
      <c r="E9" s="21" t="s">
        <v>5</v>
      </c>
      <c r="F9" s="21"/>
      <c r="G9" s="21"/>
      <c r="H9" s="21"/>
      <c r="I9" s="22" t="s">
        <v>6</v>
      </c>
      <c r="J9" s="22"/>
      <c r="K9" s="23" t="s">
        <v>7</v>
      </c>
      <c r="L9" s="23"/>
      <c r="M9" s="24" t="s">
        <v>8</v>
      </c>
      <c r="N9" s="24"/>
      <c r="O9" s="25" t="s">
        <v>9</v>
      </c>
      <c r="P9" s="25"/>
      <c r="Q9" s="26" t="s">
        <v>10</v>
      </c>
      <c r="R9" s="26"/>
      <c r="S9" s="27" t="s">
        <v>11</v>
      </c>
      <c r="T9" s="27"/>
      <c r="U9" s="28" t="s">
        <v>12</v>
      </c>
      <c r="V9" s="28"/>
      <c r="HQ9" s="30"/>
    </row>
    <row r="10" s="41" customFormat="true" ht="54" hidden="false" customHeight="false" outlineLevel="0" collapsed="false">
      <c r="A10" s="31" t="s">
        <v>13</v>
      </c>
      <c r="B10" s="32" t="s">
        <v>14</v>
      </c>
      <c r="C10" s="32" t="s">
        <v>15</v>
      </c>
      <c r="D10" s="33" t="s">
        <v>16</v>
      </c>
      <c r="E10" s="33" t="s">
        <v>17</v>
      </c>
      <c r="F10" s="34" t="s">
        <v>18</v>
      </c>
      <c r="G10" s="35" t="s">
        <v>19</v>
      </c>
      <c r="H10" s="35" t="s">
        <v>20</v>
      </c>
      <c r="I10" s="34" t="s">
        <v>21</v>
      </c>
      <c r="J10" s="36" t="s">
        <v>20</v>
      </c>
      <c r="K10" s="34" t="s">
        <v>21</v>
      </c>
      <c r="L10" s="37" t="s">
        <v>20</v>
      </c>
      <c r="M10" s="38" t="s">
        <v>21</v>
      </c>
      <c r="N10" s="36" t="s">
        <v>20</v>
      </c>
      <c r="O10" s="38" t="s">
        <v>21</v>
      </c>
      <c r="P10" s="37" t="s">
        <v>20</v>
      </c>
      <c r="Q10" s="38" t="s">
        <v>21</v>
      </c>
      <c r="R10" s="36" t="s">
        <v>20</v>
      </c>
      <c r="S10" s="39" t="s">
        <v>21</v>
      </c>
      <c r="T10" s="37" t="s">
        <v>20</v>
      </c>
      <c r="U10" s="34" t="s">
        <v>21</v>
      </c>
      <c r="V10" s="36" t="s">
        <v>20</v>
      </c>
      <c r="W10" s="40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customFormat="false" ht="18" hidden="false" customHeight="false" outlineLevel="0" collapsed="false">
      <c r="A11" s="42" t="n">
        <v>1</v>
      </c>
      <c r="B11" s="42"/>
      <c r="C11" s="42"/>
      <c r="D11" s="43" t="s">
        <v>22</v>
      </c>
      <c r="E11" s="42"/>
      <c r="F11" s="44"/>
      <c r="G11" s="45"/>
      <c r="H11" s="46"/>
      <c r="I11" s="46"/>
      <c r="J11" s="46"/>
      <c r="K11" s="46"/>
      <c r="L11" s="46"/>
      <c r="M11" s="46"/>
      <c r="N11" s="46"/>
      <c r="O11" s="46"/>
      <c r="P11" s="47"/>
      <c r="Q11" s="48"/>
      <c r="R11" s="49"/>
      <c r="S11" s="50"/>
      <c r="T11" s="46"/>
      <c r="U11" s="46"/>
      <c r="V11" s="46"/>
    </row>
    <row r="12" customFormat="false" ht="18" hidden="false" customHeight="false" outlineLevel="0" collapsed="false">
      <c r="A12" s="51" t="s">
        <v>23</v>
      </c>
      <c r="B12" s="51" t="s">
        <v>24</v>
      </c>
      <c r="C12" s="52" t="s">
        <v>25</v>
      </c>
      <c r="D12" s="53" t="s">
        <v>26</v>
      </c>
      <c r="E12" s="51" t="s">
        <v>27</v>
      </c>
      <c r="F12" s="54" t="n">
        <v>240</v>
      </c>
      <c r="G12" s="55" t="n">
        <v>90.2</v>
      </c>
      <c r="H12" s="56" t="n">
        <f aca="false">ROUND(G12*F12,2)</f>
        <v>21648</v>
      </c>
      <c r="I12" s="57" t="n">
        <f aca="false">K12+M12+O12</f>
        <v>19.35</v>
      </c>
      <c r="J12" s="56" t="n">
        <f aca="false">ROUND(I12*G12,2)</f>
        <v>1745.37</v>
      </c>
      <c r="K12" s="57" t="n">
        <v>19.35</v>
      </c>
      <c r="L12" s="58" t="n">
        <f aca="false">ROUND(K12*G12,2)</f>
        <v>1745.37</v>
      </c>
      <c r="M12" s="59"/>
      <c r="N12" s="60" t="n">
        <f aca="false">ROUND(M12*G12,2)</f>
        <v>0</v>
      </c>
      <c r="O12" s="59"/>
      <c r="P12" s="58" t="n">
        <f aca="false">ROUND(O12*G12,2)</f>
        <v>0</v>
      </c>
      <c r="Q12" s="61"/>
      <c r="R12" s="62" t="n">
        <f aca="false">ROUND(Q12*G12,2)</f>
        <v>0</v>
      </c>
      <c r="S12" s="63" t="n">
        <f aca="false">I12+Q12</f>
        <v>19.35</v>
      </c>
      <c r="T12" s="64" t="n">
        <f aca="false">ROUND(S12*G12,2)</f>
        <v>1745.37</v>
      </c>
      <c r="U12" s="57" t="n">
        <f aca="false">F12-S12</f>
        <v>220.65</v>
      </c>
      <c r="V12" s="56" t="n">
        <f aca="false">H12-T12</f>
        <v>19902.63</v>
      </c>
      <c r="W12" s="6" t="n">
        <f aca="false">K12+U12+M12+O12+Q12=F12</f>
        <v>1</v>
      </c>
      <c r="X12" s="6" t="n">
        <f aca="false">L12+V12+N12+P12+R12=H12</f>
        <v>1</v>
      </c>
    </row>
    <row r="13" customFormat="false" ht="18" hidden="false" customHeight="false" outlineLevel="0" collapsed="false">
      <c r="A13" s="51" t="s">
        <v>28</v>
      </c>
      <c r="B13" s="51" t="s">
        <v>29</v>
      </c>
      <c r="C13" s="52" t="s">
        <v>25</v>
      </c>
      <c r="D13" s="53" t="s">
        <v>30</v>
      </c>
      <c r="E13" s="51" t="s">
        <v>31</v>
      </c>
      <c r="F13" s="65" t="n">
        <v>3</v>
      </c>
      <c r="G13" s="55" t="n">
        <v>1714.95</v>
      </c>
      <c r="H13" s="56" t="n">
        <f aca="false">ROUND(G13*F13,2)</f>
        <v>5144.85</v>
      </c>
      <c r="I13" s="57" t="n">
        <f aca="false">K13+M13+O13</f>
        <v>0</v>
      </c>
      <c r="J13" s="56" t="n">
        <f aca="false">ROUND(I13*G13,2)</f>
        <v>0</v>
      </c>
      <c r="K13" s="57"/>
      <c r="L13" s="58" t="n">
        <f aca="false">ROUND(K13*G13,2)</f>
        <v>0</v>
      </c>
      <c r="M13" s="59"/>
      <c r="N13" s="60" t="n">
        <f aca="false">ROUND(M13*G13,2)</f>
        <v>0</v>
      </c>
      <c r="O13" s="59"/>
      <c r="P13" s="58" t="n">
        <f aca="false">ROUND(O13*G13,2)</f>
        <v>0</v>
      </c>
      <c r="Q13" s="61"/>
      <c r="R13" s="62" t="n">
        <f aca="false">ROUND(Q13*G13,2)</f>
        <v>0</v>
      </c>
      <c r="S13" s="63" t="n">
        <f aca="false">I13+Q13</f>
        <v>0</v>
      </c>
      <c r="T13" s="64" t="n">
        <f aca="false">ROUND(S13*G13,2)</f>
        <v>0</v>
      </c>
      <c r="U13" s="57" t="n">
        <f aca="false">F13-S13</f>
        <v>3</v>
      </c>
      <c r="V13" s="66" t="n">
        <f aca="false">ROUND(U13*G13,2)</f>
        <v>5144.85</v>
      </c>
      <c r="W13" s="6" t="n">
        <f aca="false">K13+U13+M13+O13+Q13=F13</f>
        <v>1</v>
      </c>
      <c r="X13" s="6" t="n">
        <f aca="false">L13+V13+N13+P13+R13=H13</f>
        <v>1</v>
      </c>
    </row>
    <row r="14" customFormat="false" ht="18" hidden="false" customHeight="false" outlineLevel="0" collapsed="false">
      <c r="A14" s="51" t="s">
        <v>32</v>
      </c>
      <c r="B14" s="51" t="s">
        <v>33</v>
      </c>
      <c r="C14" s="52" t="s">
        <v>34</v>
      </c>
      <c r="D14" s="53" t="s">
        <v>35</v>
      </c>
      <c r="E14" s="51" t="s">
        <v>36</v>
      </c>
      <c r="F14" s="65" t="n">
        <v>12</v>
      </c>
      <c r="G14" s="55" t="n">
        <v>330.1</v>
      </c>
      <c r="H14" s="56" t="n">
        <f aca="false">ROUND(G14*F14,2)</f>
        <v>3961.2</v>
      </c>
      <c r="I14" s="57" t="n">
        <f aca="false">K14+M14+O14</f>
        <v>8</v>
      </c>
      <c r="J14" s="56" t="n">
        <f aca="false">ROUND(I14*G14,2)</f>
        <v>2640.8</v>
      </c>
      <c r="K14" s="57" t="n">
        <v>8</v>
      </c>
      <c r="L14" s="58" t="n">
        <f aca="false">ROUND(K14*G14,2)</f>
        <v>2640.8</v>
      </c>
      <c r="M14" s="59"/>
      <c r="N14" s="60" t="n">
        <f aca="false">ROUND(M14*G14,2)</f>
        <v>0</v>
      </c>
      <c r="O14" s="59"/>
      <c r="P14" s="58" t="n">
        <f aca="false">ROUND(O14*G14,2)</f>
        <v>0</v>
      </c>
      <c r="Q14" s="61"/>
      <c r="R14" s="62" t="n">
        <f aca="false">ROUND(Q14*G14,2)</f>
        <v>0</v>
      </c>
      <c r="S14" s="63" t="n">
        <f aca="false">I14+Q14</f>
        <v>8</v>
      </c>
      <c r="T14" s="64" t="n">
        <f aca="false">ROUND(S14*G14,2)</f>
        <v>2640.8</v>
      </c>
      <c r="U14" s="57" t="n">
        <f aca="false">F14-S14</f>
        <v>4</v>
      </c>
      <c r="V14" s="66" t="n">
        <f aca="false">ROUND(U14*G14,2)</f>
        <v>1320.4</v>
      </c>
      <c r="W14" s="6" t="n">
        <f aca="false">K14+U14+M14+O14+Q14=F14</f>
        <v>1</v>
      </c>
      <c r="X14" s="6" t="n">
        <f aca="false">L14+V14+N14+P14+R14=H14</f>
        <v>1</v>
      </c>
    </row>
    <row r="15" customFormat="false" ht="18" hidden="false" customHeight="false" outlineLevel="0" collapsed="false">
      <c r="A15" s="51" t="s">
        <v>37</v>
      </c>
      <c r="B15" s="51" t="s">
        <v>38</v>
      </c>
      <c r="C15" s="52" t="s">
        <v>39</v>
      </c>
      <c r="D15" s="53" t="s">
        <v>40</v>
      </c>
      <c r="E15" s="51" t="s">
        <v>41</v>
      </c>
      <c r="F15" s="65" t="n">
        <v>1</v>
      </c>
      <c r="G15" s="55" t="n">
        <v>4545.18</v>
      </c>
      <c r="H15" s="56" t="n">
        <f aca="false">ROUND(G15*F15,2)</f>
        <v>4545.18</v>
      </c>
      <c r="I15" s="57" t="n">
        <f aca="false">K15+M15+O15</f>
        <v>1</v>
      </c>
      <c r="J15" s="56" t="n">
        <f aca="false">ROUND(I15*G15,2)</f>
        <v>4545.18</v>
      </c>
      <c r="K15" s="57"/>
      <c r="L15" s="58" t="n">
        <f aca="false">ROUND(K15*G15,2)</f>
        <v>0</v>
      </c>
      <c r="M15" s="59" t="n">
        <v>1</v>
      </c>
      <c r="N15" s="60" t="n">
        <f aca="false">ROUND(M15*G15,2)</f>
        <v>4545.18</v>
      </c>
      <c r="O15" s="59"/>
      <c r="P15" s="58" t="n">
        <f aca="false">ROUND(O15*G15,2)</f>
        <v>0</v>
      </c>
      <c r="Q15" s="61"/>
      <c r="R15" s="62" t="n">
        <f aca="false">ROUND(Q15*G15,2)</f>
        <v>0</v>
      </c>
      <c r="S15" s="63" t="n">
        <f aca="false">I15+Q15</f>
        <v>1</v>
      </c>
      <c r="T15" s="64" t="n">
        <f aca="false">ROUND(S15*G15,2)</f>
        <v>4545.18</v>
      </c>
      <c r="U15" s="57" t="n">
        <f aca="false">F15-S15</f>
        <v>0</v>
      </c>
      <c r="V15" s="66" t="n">
        <f aca="false">ROUND(U15*G15,2)</f>
        <v>0</v>
      </c>
      <c r="W15" s="6" t="n">
        <f aca="false">K15+U15+M15+O15+Q15=F15</f>
        <v>1</v>
      </c>
      <c r="X15" s="6" t="n">
        <f aca="false">L15+V15+N15+P15+R15=H15</f>
        <v>1</v>
      </c>
    </row>
    <row r="16" customFormat="false" ht="18" hidden="false" customHeight="false" outlineLevel="0" collapsed="false">
      <c r="A16" s="51" t="s">
        <v>42</v>
      </c>
      <c r="B16" s="51" t="s">
        <v>43</v>
      </c>
      <c r="C16" s="52" t="s">
        <v>25</v>
      </c>
      <c r="D16" s="53" t="s">
        <v>44</v>
      </c>
      <c r="E16" s="51" t="s">
        <v>45</v>
      </c>
      <c r="F16" s="65" t="n">
        <v>1</v>
      </c>
      <c r="G16" s="55" t="n">
        <v>18661.45</v>
      </c>
      <c r="H16" s="56" t="n">
        <f aca="false">ROUND(G16*F16,2)</f>
        <v>18661.45</v>
      </c>
      <c r="I16" s="57" t="n">
        <f aca="false">K16+M16+O16</f>
        <v>1</v>
      </c>
      <c r="J16" s="56" t="n">
        <f aca="false">ROUND(I16*G16,2)</f>
        <v>18661.45</v>
      </c>
      <c r="K16" s="57"/>
      <c r="L16" s="58" t="n">
        <f aca="false">ROUND(K16*G16,2)</f>
        <v>0</v>
      </c>
      <c r="M16" s="59" t="n">
        <v>1</v>
      </c>
      <c r="N16" s="60" t="n">
        <f aca="false">ROUND(M16*G16,2)</f>
        <v>18661.45</v>
      </c>
      <c r="O16" s="59"/>
      <c r="P16" s="58" t="n">
        <f aca="false">ROUND(O16*G16,2)</f>
        <v>0</v>
      </c>
      <c r="Q16" s="61"/>
      <c r="R16" s="62" t="n">
        <f aca="false">ROUND(Q16*G16,2)</f>
        <v>0</v>
      </c>
      <c r="S16" s="63" t="n">
        <f aca="false">I16+Q16</f>
        <v>1</v>
      </c>
      <c r="T16" s="64" t="n">
        <f aca="false">ROUND(S16*G16,2)</f>
        <v>18661.45</v>
      </c>
      <c r="U16" s="57" t="n">
        <f aca="false">F16-S16</f>
        <v>0</v>
      </c>
      <c r="V16" s="66" t="n">
        <f aca="false">ROUND(U16*G16,2)</f>
        <v>0</v>
      </c>
      <c r="W16" s="6" t="n">
        <f aca="false">K16+U16+M16+O16+Q16=F16</f>
        <v>1</v>
      </c>
      <c r="X16" s="6" t="n">
        <f aca="false">L16+V16+N16+P16+R16=H16</f>
        <v>1</v>
      </c>
    </row>
    <row r="17" customFormat="false" ht="18" hidden="false" customHeight="true" outlineLevel="0" collapsed="false">
      <c r="A17" s="67" t="s">
        <v>46</v>
      </c>
      <c r="B17" s="67"/>
      <c r="C17" s="67"/>
      <c r="D17" s="67"/>
      <c r="E17" s="67"/>
      <c r="F17" s="67"/>
      <c r="G17" s="67"/>
      <c r="H17" s="35" t="n">
        <f aca="false">SUM(H12:H16)</f>
        <v>53960.68</v>
      </c>
      <c r="I17" s="35"/>
      <c r="J17" s="35" t="n">
        <f aca="false">SUM(J12:J16)</f>
        <v>27592.8</v>
      </c>
      <c r="K17" s="35"/>
      <c r="L17" s="37" t="n">
        <f aca="false">SUM(L12:L16)</f>
        <v>4386.17</v>
      </c>
      <c r="M17" s="68"/>
      <c r="N17" s="36" t="n">
        <f aca="false">SUM(N12:N16)</f>
        <v>23206.63</v>
      </c>
      <c r="O17" s="68"/>
      <c r="P17" s="37" t="n">
        <f aca="false">SUM(P12:P16)</f>
        <v>0</v>
      </c>
      <c r="Q17" s="68"/>
      <c r="R17" s="36" t="n">
        <f aca="false">SUM(R12:R16)</f>
        <v>0</v>
      </c>
      <c r="S17" s="69"/>
      <c r="T17" s="35" t="n">
        <f aca="false">SUM(T12:T16)</f>
        <v>27592.8</v>
      </c>
      <c r="U17" s="35"/>
      <c r="V17" s="35" t="n">
        <f aca="false">SUM(V12:V16)</f>
        <v>26367.88</v>
      </c>
      <c r="W17" s="6" t="n">
        <f aca="false">K17+U17+M17+O17+Q17=F17</f>
        <v>1</v>
      </c>
      <c r="X17" s="6" t="n">
        <f aca="false">L17+V17+N17+P17+R17=H17</f>
        <v>1</v>
      </c>
    </row>
    <row r="18" customFormat="false" ht="18" hidden="false" customHeight="false" outlineLevel="0" collapsed="false">
      <c r="A18" s="42" t="s">
        <v>47</v>
      </c>
      <c r="B18" s="42"/>
      <c r="C18" s="42"/>
      <c r="D18" s="43" t="s">
        <v>48</v>
      </c>
      <c r="E18" s="42"/>
      <c r="F18" s="44"/>
      <c r="G18" s="45"/>
      <c r="H18" s="46"/>
      <c r="I18" s="46"/>
      <c r="J18" s="46"/>
      <c r="K18" s="46"/>
      <c r="L18" s="46"/>
      <c r="M18" s="46"/>
      <c r="N18" s="46"/>
      <c r="O18" s="46"/>
      <c r="P18" s="47"/>
      <c r="Q18" s="48"/>
      <c r="R18" s="49"/>
      <c r="S18" s="50"/>
      <c r="T18" s="46"/>
      <c r="U18" s="46"/>
      <c r="V18" s="46"/>
      <c r="W18" s="6" t="n">
        <f aca="false">K18+U18+M18+O18+Q18=F18</f>
        <v>1</v>
      </c>
      <c r="X18" s="6" t="n">
        <f aca="false">L18+V18+N18+P18+R18=H18</f>
        <v>1</v>
      </c>
    </row>
    <row r="19" customFormat="false" ht="54" hidden="false" customHeight="false" outlineLevel="0" collapsed="false">
      <c r="A19" s="51" t="s">
        <v>49</v>
      </c>
      <c r="B19" s="51" t="s">
        <v>50</v>
      </c>
      <c r="C19" s="52" t="s">
        <v>25</v>
      </c>
      <c r="D19" s="53" t="s">
        <v>51</v>
      </c>
      <c r="E19" s="51" t="s">
        <v>52</v>
      </c>
      <c r="F19" s="65" t="n">
        <v>6</v>
      </c>
      <c r="G19" s="55" t="n">
        <v>869.23</v>
      </c>
      <c r="H19" s="56" t="n">
        <f aca="false">ROUND(G19*F19,2)</f>
        <v>5215.38</v>
      </c>
      <c r="I19" s="57" t="n">
        <f aca="false">K19+M19+O19</f>
        <v>2</v>
      </c>
      <c r="J19" s="56" t="n">
        <f aca="false">ROUND(I19*G19,2)</f>
        <v>1738.46</v>
      </c>
      <c r="K19" s="57"/>
      <c r="L19" s="58" t="n">
        <f aca="false">ROUND(K19*G19,2)</f>
        <v>0</v>
      </c>
      <c r="M19" s="59" t="n">
        <v>1</v>
      </c>
      <c r="N19" s="60" t="n">
        <f aca="false">ROUND(M19*G19,2)</f>
        <v>869.23</v>
      </c>
      <c r="O19" s="59" t="n">
        <v>1</v>
      </c>
      <c r="P19" s="58" t="n">
        <f aca="false">ROUND(O19*G19,2)</f>
        <v>869.23</v>
      </c>
      <c r="Q19" s="61" t="n">
        <v>2</v>
      </c>
      <c r="R19" s="62" t="n">
        <f aca="false">ROUND(Q19*G19,2)</f>
        <v>1738.46</v>
      </c>
      <c r="S19" s="63" t="n">
        <f aca="false">I19+Q19</f>
        <v>4</v>
      </c>
      <c r="T19" s="64" t="n">
        <f aca="false">ROUND(S19*G19,2)</f>
        <v>3476.92</v>
      </c>
      <c r="U19" s="57" t="n">
        <f aca="false">F19-S19</f>
        <v>2</v>
      </c>
      <c r="V19" s="56" t="n">
        <f aca="false">H19-T19</f>
        <v>1738.46</v>
      </c>
      <c r="W19" s="6" t="n">
        <f aca="false">K19+U19+M19+O19+Q19=F19</f>
        <v>1</v>
      </c>
      <c r="X19" s="6" t="n">
        <f aca="false">L19+V19+N19+P19+R19=H19</f>
        <v>1</v>
      </c>
    </row>
    <row r="20" customFormat="false" ht="54" hidden="false" customHeight="false" outlineLevel="0" collapsed="false">
      <c r="A20" s="51" t="s">
        <v>53</v>
      </c>
      <c r="B20" s="51" t="s">
        <v>54</v>
      </c>
      <c r="C20" s="52" t="s">
        <v>25</v>
      </c>
      <c r="D20" s="53" t="s">
        <v>55</v>
      </c>
      <c r="E20" s="51" t="s">
        <v>52</v>
      </c>
      <c r="F20" s="65" t="n">
        <v>6</v>
      </c>
      <c r="G20" s="55" t="n">
        <v>954.08</v>
      </c>
      <c r="H20" s="56" t="n">
        <f aca="false">ROUND(G20*F20,2)</f>
        <v>5724.48</v>
      </c>
      <c r="I20" s="57" t="n">
        <f aca="false">K20+M20+O20</f>
        <v>0</v>
      </c>
      <c r="J20" s="56" t="n">
        <f aca="false">ROUND(I20*G20,2)</f>
        <v>0</v>
      </c>
      <c r="K20" s="57"/>
      <c r="L20" s="58" t="n">
        <f aca="false">ROUND(K20*G20,2)</f>
        <v>0</v>
      </c>
      <c r="M20" s="59"/>
      <c r="N20" s="60" t="n">
        <f aca="false">ROUND(M20*G20,2)</f>
        <v>0</v>
      </c>
      <c r="O20" s="59"/>
      <c r="P20" s="58" t="n">
        <f aca="false">ROUND(O20*G20,2)</f>
        <v>0</v>
      </c>
      <c r="Q20" s="61" t="n">
        <v>2</v>
      </c>
      <c r="R20" s="62" t="n">
        <f aca="false">ROUND(Q20*G20,2)</f>
        <v>1908.16</v>
      </c>
      <c r="S20" s="63" t="n">
        <f aca="false">I20+Q20</f>
        <v>2</v>
      </c>
      <c r="T20" s="64" t="n">
        <f aca="false">ROUND(S20*G20,2)</f>
        <v>1908.16</v>
      </c>
      <c r="U20" s="57" t="n">
        <f aca="false">F20-S20</f>
        <v>4</v>
      </c>
      <c r="V20" s="56" t="n">
        <f aca="false">H20-T20</f>
        <v>3816.32</v>
      </c>
      <c r="W20" s="6" t="n">
        <f aca="false">K20+U20+M20+O20+Q20=F20</f>
        <v>1</v>
      </c>
      <c r="X20" s="6" t="n">
        <f aca="false">L20+V20+N20+P20+R20=H20</f>
        <v>1</v>
      </c>
    </row>
    <row r="21" customFormat="false" ht="36" hidden="false" customHeight="false" outlineLevel="0" collapsed="false">
      <c r="A21" s="51" t="s">
        <v>56</v>
      </c>
      <c r="B21" s="51" t="s">
        <v>57</v>
      </c>
      <c r="C21" s="52" t="s">
        <v>25</v>
      </c>
      <c r="D21" s="53" t="s">
        <v>58</v>
      </c>
      <c r="E21" s="51" t="s">
        <v>52</v>
      </c>
      <c r="F21" s="65" t="n">
        <v>6</v>
      </c>
      <c r="G21" s="55" t="n">
        <v>557.14</v>
      </c>
      <c r="H21" s="56" t="n">
        <f aca="false">ROUND(G21*F21,2)</f>
        <v>3342.84</v>
      </c>
      <c r="I21" s="57" t="n">
        <f aca="false">K21+M21+O21</f>
        <v>2</v>
      </c>
      <c r="J21" s="56" t="n">
        <f aca="false">ROUND(I21*G21,2)</f>
        <v>1114.28</v>
      </c>
      <c r="K21" s="57"/>
      <c r="L21" s="58" t="n">
        <f aca="false">ROUND(K21*G21,2)</f>
        <v>0</v>
      </c>
      <c r="M21" s="59" t="n">
        <v>1</v>
      </c>
      <c r="N21" s="60" t="n">
        <f aca="false">ROUND(M21*G21,2)</f>
        <v>557.14</v>
      </c>
      <c r="O21" s="59" t="n">
        <v>1</v>
      </c>
      <c r="P21" s="58" t="n">
        <f aca="false">ROUND(O21*G21,2)</f>
        <v>557.14</v>
      </c>
      <c r="Q21" s="61" t="n">
        <v>2</v>
      </c>
      <c r="R21" s="62" t="n">
        <f aca="false">ROUND(Q21*G21,2)</f>
        <v>1114.28</v>
      </c>
      <c r="S21" s="63" t="n">
        <f aca="false">I21+Q21</f>
        <v>4</v>
      </c>
      <c r="T21" s="64" t="n">
        <f aca="false">ROUND(S21*G21,2)</f>
        <v>2228.56</v>
      </c>
      <c r="U21" s="57" t="n">
        <f aca="false">F21-S21</f>
        <v>2</v>
      </c>
      <c r="V21" s="56" t="n">
        <f aca="false">H21-T21</f>
        <v>1114.28</v>
      </c>
      <c r="W21" s="6" t="n">
        <f aca="false">K21+U21+M21+O21+Q21=F21</f>
        <v>1</v>
      </c>
      <c r="X21" s="6" t="n">
        <f aca="false">L21+V21+N21+P21+R21=H21</f>
        <v>1</v>
      </c>
    </row>
    <row r="22" customFormat="false" ht="15" hidden="false" customHeight="true" outlineLevel="0" collapsed="false">
      <c r="A22" s="67" t="s">
        <v>46</v>
      </c>
      <c r="B22" s="67"/>
      <c r="C22" s="67"/>
      <c r="D22" s="67"/>
      <c r="E22" s="67"/>
      <c r="F22" s="67"/>
      <c r="G22" s="67"/>
      <c r="H22" s="35" t="n">
        <f aca="false">SUM(H19:H21)</f>
        <v>14282.7</v>
      </c>
      <c r="I22" s="35"/>
      <c r="J22" s="35" t="n">
        <f aca="false">SUM(J19:J21)</f>
        <v>2852.74</v>
      </c>
      <c r="K22" s="35"/>
      <c r="L22" s="37" t="n">
        <f aca="false">SUM(L19:L21)</f>
        <v>0</v>
      </c>
      <c r="M22" s="68"/>
      <c r="N22" s="36" t="n">
        <f aca="false">SUM(N19:N21)</f>
        <v>1426.37</v>
      </c>
      <c r="O22" s="68"/>
      <c r="P22" s="37" t="n">
        <f aca="false">SUM(P19:P21)</f>
        <v>1426.37</v>
      </c>
      <c r="Q22" s="68"/>
      <c r="R22" s="36" t="n">
        <f aca="false">SUM(R19:R21)</f>
        <v>4760.9</v>
      </c>
      <c r="S22" s="69"/>
      <c r="T22" s="35" t="n">
        <f aca="false">SUM(T19:T21)</f>
        <v>7613.64</v>
      </c>
      <c r="U22" s="35"/>
      <c r="V22" s="35" t="n">
        <f aca="false">SUM(V19:V21)</f>
        <v>6669.06</v>
      </c>
      <c r="W22" s="6" t="n">
        <f aca="false">K22+U22+M22+O22+Q22=F22</f>
        <v>1</v>
      </c>
      <c r="X22" s="6" t="n">
        <f aca="false">L22+V22+N22+P22+R22=H22</f>
        <v>1</v>
      </c>
    </row>
    <row r="23" customFormat="false" ht="18" hidden="false" customHeight="false" outlineLevel="0" collapsed="false">
      <c r="A23" s="42" t="s">
        <v>59</v>
      </c>
      <c r="B23" s="42"/>
      <c r="C23" s="42"/>
      <c r="D23" s="43" t="s">
        <v>60</v>
      </c>
      <c r="E23" s="42"/>
      <c r="F23" s="44"/>
      <c r="G23" s="45"/>
      <c r="H23" s="46"/>
      <c r="I23" s="46"/>
      <c r="J23" s="46"/>
      <c r="K23" s="46"/>
      <c r="L23" s="46"/>
      <c r="M23" s="46"/>
      <c r="N23" s="46"/>
      <c r="O23" s="46"/>
      <c r="P23" s="47"/>
      <c r="Q23" s="48"/>
      <c r="R23" s="49"/>
      <c r="S23" s="50"/>
      <c r="T23" s="46"/>
      <c r="U23" s="46"/>
      <c r="V23" s="46"/>
      <c r="W23" s="6" t="n">
        <f aca="false">K23+U23+M23+O23+Q23=F23</f>
        <v>1</v>
      </c>
      <c r="X23" s="6" t="n">
        <f aca="false">L23+V23+N23+P23+R23=H23</f>
        <v>1</v>
      </c>
    </row>
    <row r="24" customFormat="false" ht="36" hidden="false" customHeight="false" outlineLevel="0" collapsed="false">
      <c r="A24" s="51" t="s">
        <v>61</v>
      </c>
      <c r="B24" s="51" t="s">
        <v>62</v>
      </c>
      <c r="C24" s="52" t="s">
        <v>39</v>
      </c>
      <c r="D24" s="53" t="s">
        <v>63</v>
      </c>
      <c r="E24" s="51" t="s">
        <v>36</v>
      </c>
      <c r="F24" s="65" t="n">
        <v>1600</v>
      </c>
      <c r="G24" s="55" t="n">
        <v>0.48</v>
      </c>
      <c r="H24" s="56" t="n">
        <f aca="false">ROUND(G24*F24,2)</f>
        <v>768</v>
      </c>
      <c r="I24" s="57" t="n">
        <f aca="false">K24+M24+O24</f>
        <v>166.9</v>
      </c>
      <c r="J24" s="56" t="n">
        <f aca="false">ROUND(I24*G24,2)</f>
        <v>80.11</v>
      </c>
      <c r="K24" s="57"/>
      <c r="L24" s="58" t="n">
        <f aca="false">ROUND(K24*G24,2)</f>
        <v>0</v>
      </c>
      <c r="M24" s="59" t="n">
        <v>166.9</v>
      </c>
      <c r="N24" s="60" t="n">
        <f aca="false">ROUND(M24*G24,2)</f>
        <v>80.11</v>
      </c>
      <c r="O24" s="59"/>
      <c r="P24" s="58" t="n">
        <f aca="false">ROUND(O24*G24,2)</f>
        <v>0</v>
      </c>
      <c r="Q24" s="61" t="n">
        <v>1433.1</v>
      </c>
      <c r="R24" s="62" t="n">
        <f aca="false">ROUND(Q24*G24,2)</f>
        <v>687.89</v>
      </c>
      <c r="S24" s="63" t="n">
        <f aca="false">I24+Q24</f>
        <v>1600</v>
      </c>
      <c r="T24" s="64" t="n">
        <f aca="false">ROUND(S24*G24,2)</f>
        <v>768</v>
      </c>
      <c r="U24" s="57" t="n">
        <f aca="false">F24-S24</f>
        <v>0</v>
      </c>
      <c r="V24" s="56" t="n">
        <f aca="false">H24-T24</f>
        <v>0</v>
      </c>
      <c r="W24" s="6" t="n">
        <f aca="false">K24+U24+M24+O24+Q24=F24</f>
        <v>1</v>
      </c>
      <c r="X24" s="6" t="n">
        <f aca="false">L24+V24+N24+P24+R24=H24</f>
        <v>1</v>
      </c>
    </row>
    <row r="25" customFormat="false" ht="18" hidden="false" customHeight="false" outlineLevel="0" collapsed="false">
      <c r="A25" s="51" t="s">
        <v>64</v>
      </c>
      <c r="B25" s="70" t="s">
        <v>65</v>
      </c>
      <c r="C25" s="52" t="s">
        <v>39</v>
      </c>
      <c r="D25" s="53" t="s">
        <v>66</v>
      </c>
      <c r="E25" s="51" t="s">
        <v>36</v>
      </c>
      <c r="F25" s="65" t="n">
        <v>4800</v>
      </c>
      <c r="G25" s="55" t="n">
        <v>0.78</v>
      </c>
      <c r="H25" s="56" t="n">
        <f aca="false">ROUND(G25*F25,2)</f>
        <v>3744</v>
      </c>
      <c r="I25" s="57" t="n">
        <f aca="false">K25+M25+O25</f>
        <v>0</v>
      </c>
      <c r="J25" s="56" t="n">
        <f aca="false">ROUND(I25*G25,2)</f>
        <v>0</v>
      </c>
      <c r="K25" s="57"/>
      <c r="L25" s="58" t="n">
        <f aca="false">ROUND(K25*G25,2)</f>
        <v>0</v>
      </c>
      <c r="M25" s="59"/>
      <c r="N25" s="60" t="n">
        <f aca="false">ROUND(M25*G25,2)</f>
        <v>0</v>
      </c>
      <c r="O25" s="59"/>
      <c r="P25" s="58" t="n">
        <f aca="false">ROUND(O25*G25,2)</f>
        <v>0</v>
      </c>
      <c r="Q25" s="61" t="n">
        <v>4800</v>
      </c>
      <c r="R25" s="62" t="n">
        <f aca="false">ROUND(Q25*G25,2)</f>
        <v>3744</v>
      </c>
      <c r="S25" s="63" t="n">
        <f aca="false">I25+Q25</f>
        <v>4800</v>
      </c>
      <c r="T25" s="64" t="n">
        <f aca="false">ROUND(S25*G25,2)</f>
        <v>3744</v>
      </c>
      <c r="U25" s="57" t="n">
        <f aca="false">F25-S25</f>
        <v>0</v>
      </c>
      <c r="V25" s="56" t="n">
        <f aca="false">H25-T25</f>
        <v>0</v>
      </c>
      <c r="W25" s="6" t="n">
        <f aca="false">K25+U25+M25+O25+Q25=F25</f>
        <v>1</v>
      </c>
      <c r="X25" s="6" t="n">
        <f aca="false">L25+V25+N25+P25+R25=H25</f>
        <v>1</v>
      </c>
    </row>
    <row r="26" customFormat="false" ht="36" hidden="false" customHeight="false" outlineLevel="0" collapsed="false">
      <c r="A26" s="51" t="s">
        <v>67</v>
      </c>
      <c r="B26" s="51" t="s">
        <v>68</v>
      </c>
      <c r="C26" s="52" t="s">
        <v>39</v>
      </c>
      <c r="D26" s="53" t="s">
        <v>69</v>
      </c>
      <c r="E26" s="51" t="s">
        <v>70</v>
      </c>
      <c r="F26" s="65" t="n">
        <v>1600</v>
      </c>
      <c r="G26" s="55" t="n">
        <v>9.11</v>
      </c>
      <c r="H26" s="56" t="n">
        <f aca="false">ROUND(G26*F26,2)</f>
        <v>14576</v>
      </c>
      <c r="I26" s="57" t="n">
        <f aca="false">K26+M26+O26</f>
        <v>41.01</v>
      </c>
      <c r="J26" s="56" t="n">
        <f aca="false">ROUND(I26*G26,2)</f>
        <v>373.6</v>
      </c>
      <c r="K26" s="57"/>
      <c r="L26" s="58" t="n">
        <f aca="false">ROUND(K26*G26,2)</f>
        <v>0</v>
      </c>
      <c r="M26" s="59" t="n">
        <v>41.01</v>
      </c>
      <c r="N26" s="60" t="n">
        <f aca="false">ROUND(M26*G26,2)</f>
        <v>373.6</v>
      </c>
      <c r="O26" s="59"/>
      <c r="P26" s="58" t="n">
        <f aca="false">ROUND(O26*G26,2)</f>
        <v>0</v>
      </c>
      <c r="Q26" s="61" t="n">
        <v>1558.99</v>
      </c>
      <c r="R26" s="62" t="n">
        <f aca="false">ROUND(Q26*G26,2)</f>
        <v>14202.4</v>
      </c>
      <c r="S26" s="63" t="n">
        <f aca="false">I26+Q26</f>
        <v>1600</v>
      </c>
      <c r="T26" s="64" t="n">
        <f aca="false">ROUND(S26*G26,2)</f>
        <v>14576</v>
      </c>
      <c r="U26" s="57" t="n">
        <f aca="false">F26-S26</f>
        <v>0</v>
      </c>
      <c r="V26" s="56" t="n">
        <f aca="false">H26-T26</f>
        <v>0</v>
      </c>
      <c r="W26" s="6" t="n">
        <f aca="false">K26+U26+M26+O26+Q26=F26</f>
        <v>1</v>
      </c>
      <c r="X26" s="6" t="n">
        <f aca="false">L26+V26+N26+P26+R26=H26</f>
        <v>1</v>
      </c>
    </row>
    <row r="27" customFormat="false" ht="18" hidden="false" customHeight="false" outlineLevel="0" collapsed="false">
      <c r="A27" s="51" t="s">
        <v>71</v>
      </c>
      <c r="B27" s="51" t="s">
        <v>72</v>
      </c>
      <c r="C27" s="52" t="s">
        <v>39</v>
      </c>
      <c r="D27" s="53" t="s">
        <v>73</v>
      </c>
      <c r="E27" s="51" t="s">
        <v>74</v>
      </c>
      <c r="F27" s="65" t="n">
        <v>3200</v>
      </c>
      <c r="G27" s="55" t="n">
        <v>4.56</v>
      </c>
      <c r="H27" s="56" t="n">
        <f aca="false">ROUND(G27*F27,2)</f>
        <v>14592</v>
      </c>
      <c r="I27" s="57" t="n">
        <f aca="false">K27+M27+O27</f>
        <v>0</v>
      </c>
      <c r="J27" s="56" t="n">
        <f aca="false">ROUND(I27*G27,2)</f>
        <v>0</v>
      </c>
      <c r="K27" s="57"/>
      <c r="L27" s="58" t="n">
        <f aca="false">ROUND(K27*G27,2)</f>
        <v>0</v>
      </c>
      <c r="M27" s="59"/>
      <c r="N27" s="60" t="n">
        <f aca="false">ROUND(M27*G27,2)</f>
        <v>0</v>
      </c>
      <c r="O27" s="59"/>
      <c r="P27" s="58" t="n">
        <f aca="false">ROUND(O27*G27,2)</f>
        <v>0</v>
      </c>
      <c r="Q27" s="61" t="n">
        <v>3200</v>
      </c>
      <c r="R27" s="62" t="n">
        <f aca="false">ROUND(Q27*G27,2)</f>
        <v>14592</v>
      </c>
      <c r="S27" s="63" t="n">
        <f aca="false">I27+Q27</f>
        <v>3200</v>
      </c>
      <c r="T27" s="64" t="n">
        <f aca="false">ROUND(S27*G27,2)</f>
        <v>14592</v>
      </c>
      <c r="U27" s="57" t="n">
        <f aca="false">F27-S27</f>
        <v>0</v>
      </c>
      <c r="V27" s="56" t="n">
        <f aca="false">H27-T27</f>
        <v>0</v>
      </c>
      <c r="W27" s="6" t="n">
        <f aca="false">K27+U27+M27+O27+Q27=F27</f>
        <v>1</v>
      </c>
      <c r="X27" s="6" t="n">
        <f aca="false">L27+V27+N27+P27+R27=H27</f>
        <v>1</v>
      </c>
    </row>
    <row r="28" customFormat="false" ht="36" hidden="false" customHeight="false" outlineLevel="0" collapsed="false">
      <c r="A28" s="51" t="s">
        <v>75</v>
      </c>
      <c r="B28" s="51" t="s">
        <v>76</v>
      </c>
      <c r="C28" s="52" t="s">
        <v>39</v>
      </c>
      <c r="D28" s="53" t="s">
        <v>77</v>
      </c>
      <c r="E28" s="51" t="s">
        <v>70</v>
      </c>
      <c r="F28" s="65" t="n">
        <v>1600</v>
      </c>
      <c r="G28" s="55" t="n">
        <v>5.38</v>
      </c>
      <c r="H28" s="56" t="n">
        <f aca="false">ROUND(G28*F28,2)</f>
        <v>8608</v>
      </c>
      <c r="I28" s="57" t="n">
        <f aca="false">K28+M28+O28</f>
        <v>41.01</v>
      </c>
      <c r="J28" s="56" t="n">
        <f aca="false">ROUND(I28*G28,2)</f>
        <v>220.63</v>
      </c>
      <c r="K28" s="57"/>
      <c r="L28" s="58" t="n">
        <f aca="false">ROUND(K28*G28,2)</f>
        <v>0</v>
      </c>
      <c r="M28" s="59" t="n">
        <v>41.01</v>
      </c>
      <c r="N28" s="60" t="n">
        <f aca="false">ROUND(M28*G28,2)</f>
        <v>220.63</v>
      </c>
      <c r="O28" s="59"/>
      <c r="P28" s="58" t="n">
        <f aca="false">ROUND(O28*G28,2)</f>
        <v>0</v>
      </c>
      <c r="Q28" s="61" t="n">
        <v>1558.99</v>
      </c>
      <c r="R28" s="62" t="n">
        <f aca="false">ROUND(Q28*G28,2)</f>
        <v>8387.37</v>
      </c>
      <c r="S28" s="63" t="n">
        <f aca="false">I28+Q28</f>
        <v>1600</v>
      </c>
      <c r="T28" s="64" t="n">
        <f aca="false">ROUND(S28*G28,2)</f>
        <v>8608</v>
      </c>
      <c r="U28" s="57" t="n">
        <f aca="false">F28-S28</f>
        <v>0</v>
      </c>
      <c r="V28" s="56" t="n">
        <f aca="false">H28-T28</f>
        <v>0</v>
      </c>
      <c r="W28" s="6" t="n">
        <f aca="false">K28+U28+M28+O28+Q28=F28</f>
        <v>1</v>
      </c>
      <c r="X28" s="6" t="n">
        <f aca="false">L28+V28+N28+P28+R28=H28</f>
        <v>1</v>
      </c>
    </row>
    <row r="29" customFormat="false" ht="15" hidden="false" customHeight="true" outlineLevel="0" collapsed="false">
      <c r="A29" s="67" t="s">
        <v>46</v>
      </c>
      <c r="B29" s="67"/>
      <c r="C29" s="67"/>
      <c r="D29" s="67"/>
      <c r="E29" s="67"/>
      <c r="F29" s="67"/>
      <c r="G29" s="67"/>
      <c r="H29" s="35" t="n">
        <f aca="false">SUM(H24:H28)</f>
        <v>42288</v>
      </c>
      <c r="I29" s="35"/>
      <c r="J29" s="35" t="n">
        <f aca="false">SUM(J24:J28)</f>
        <v>674.34</v>
      </c>
      <c r="K29" s="35"/>
      <c r="L29" s="37" t="n">
        <f aca="false">SUM(L24:L28)</f>
        <v>0</v>
      </c>
      <c r="M29" s="68"/>
      <c r="N29" s="36" t="n">
        <f aca="false">SUM(N24:N28)</f>
        <v>674.34</v>
      </c>
      <c r="O29" s="68"/>
      <c r="P29" s="37" t="n">
        <f aca="false">SUM(P24:P28)</f>
        <v>0</v>
      </c>
      <c r="Q29" s="68"/>
      <c r="R29" s="36" t="n">
        <f aca="false">SUM(R24:R28)</f>
        <v>41613.66</v>
      </c>
      <c r="S29" s="69"/>
      <c r="T29" s="35" t="n">
        <f aca="false">SUM(T24:T28)</f>
        <v>42288</v>
      </c>
      <c r="U29" s="35"/>
      <c r="V29" s="35" t="n">
        <f aca="false">SUM(V24:V28)</f>
        <v>0</v>
      </c>
      <c r="W29" s="6" t="n">
        <f aca="false">K29+U29+M29+O29+Q29=F29</f>
        <v>1</v>
      </c>
      <c r="X29" s="6" t="n">
        <f aca="false">L29+V29+N29+P29+R29=H29</f>
        <v>1</v>
      </c>
    </row>
    <row r="30" customFormat="false" ht="18" hidden="false" customHeight="false" outlineLevel="0" collapsed="false">
      <c r="A30" s="42" t="s">
        <v>78</v>
      </c>
      <c r="B30" s="42"/>
      <c r="C30" s="42"/>
      <c r="D30" s="43" t="s">
        <v>79</v>
      </c>
      <c r="E30" s="42"/>
      <c r="F30" s="44"/>
      <c r="G30" s="45"/>
      <c r="H30" s="46"/>
      <c r="I30" s="46"/>
      <c r="J30" s="46"/>
      <c r="K30" s="46"/>
      <c r="L30" s="46"/>
      <c r="M30" s="46"/>
      <c r="N30" s="46"/>
      <c r="O30" s="46"/>
      <c r="P30" s="47"/>
      <c r="Q30" s="48"/>
      <c r="R30" s="49"/>
      <c r="S30" s="50"/>
      <c r="T30" s="46"/>
      <c r="U30" s="46"/>
      <c r="V30" s="46"/>
      <c r="W30" s="6" t="n">
        <f aca="false">K30+U30+M30+O30+Q30=F30</f>
        <v>1</v>
      </c>
      <c r="X30" s="6" t="n">
        <f aca="false">L30+V30+N30+P30+R30=H30</f>
        <v>1</v>
      </c>
    </row>
    <row r="31" customFormat="false" ht="18" hidden="false" customHeight="false" outlineLevel="0" collapsed="false">
      <c r="A31" s="51" t="s">
        <v>80</v>
      </c>
      <c r="B31" s="51" t="s">
        <v>81</v>
      </c>
      <c r="C31" s="52" t="s">
        <v>25</v>
      </c>
      <c r="D31" s="53" t="s">
        <v>82</v>
      </c>
      <c r="E31" s="51" t="s">
        <v>36</v>
      </c>
      <c r="F31" s="65" t="n">
        <v>500</v>
      </c>
      <c r="G31" s="55" t="n">
        <v>43.38</v>
      </c>
      <c r="H31" s="56" t="n">
        <f aca="false">ROUND(G31*F31,2)</f>
        <v>21690</v>
      </c>
      <c r="I31" s="57" t="n">
        <f aca="false">K31+M31+O31</f>
        <v>0</v>
      </c>
      <c r="J31" s="56" t="n">
        <f aca="false">ROUND(I31*G31,2)</f>
        <v>0</v>
      </c>
      <c r="K31" s="57"/>
      <c r="L31" s="58" t="n">
        <f aca="false">ROUND(K31*G31,2)</f>
        <v>0</v>
      </c>
      <c r="M31" s="59"/>
      <c r="N31" s="60" t="n">
        <f aca="false">ROUND(M31*G31,2)</f>
        <v>0</v>
      </c>
      <c r="O31" s="59"/>
      <c r="P31" s="58" t="n">
        <f aca="false">ROUND(O31*G31,2)</f>
        <v>0</v>
      </c>
      <c r="Q31" s="61"/>
      <c r="R31" s="62" t="n">
        <f aca="false">ROUND(Q31*G31,2)</f>
        <v>0</v>
      </c>
      <c r="S31" s="63" t="n">
        <f aca="false">I31+Q31</f>
        <v>0</v>
      </c>
      <c r="T31" s="64" t="n">
        <f aca="false">ROUND(S31*G31,2)</f>
        <v>0</v>
      </c>
      <c r="U31" s="57" t="n">
        <f aca="false">F31-S31</f>
        <v>500</v>
      </c>
      <c r="V31" s="56" t="n">
        <f aca="false">H31-T31</f>
        <v>21690</v>
      </c>
      <c r="W31" s="6" t="n">
        <f aca="false">K31+U31+M31+O31+Q31=F31</f>
        <v>1</v>
      </c>
      <c r="X31" s="6" t="n">
        <f aca="false">L31+V31+N31+P31+R31=H31</f>
        <v>1</v>
      </c>
    </row>
    <row r="32" customFormat="false" ht="54" hidden="false" customHeight="false" outlineLevel="0" collapsed="false">
      <c r="A32" s="51" t="s">
        <v>83</v>
      </c>
      <c r="B32" s="51" t="s">
        <v>84</v>
      </c>
      <c r="C32" s="52" t="s">
        <v>85</v>
      </c>
      <c r="D32" s="53" t="s">
        <v>86</v>
      </c>
      <c r="E32" s="51" t="s">
        <v>87</v>
      </c>
      <c r="F32" s="65" t="n">
        <v>20</v>
      </c>
      <c r="G32" s="55" t="n">
        <v>373.33</v>
      </c>
      <c r="H32" s="56" t="n">
        <f aca="false">ROUND(G32*F32,2)</f>
        <v>7466.6</v>
      </c>
      <c r="I32" s="57" t="n">
        <f aca="false">K32+M32+O32</f>
        <v>0</v>
      </c>
      <c r="J32" s="56" t="n">
        <f aca="false">ROUND(I32*G32,2)</f>
        <v>0</v>
      </c>
      <c r="K32" s="57"/>
      <c r="L32" s="58" t="n">
        <f aca="false">ROUND(K32*G32,2)</f>
        <v>0</v>
      </c>
      <c r="M32" s="59"/>
      <c r="N32" s="60" t="n">
        <f aca="false">ROUND(M32*G32,2)</f>
        <v>0</v>
      </c>
      <c r="O32" s="59"/>
      <c r="P32" s="58" t="n">
        <f aca="false">ROUND(O32*G32,2)</f>
        <v>0</v>
      </c>
      <c r="Q32" s="61"/>
      <c r="R32" s="62" t="n">
        <f aca="false">ROUND(Q32*G32,2)</f>
        <v>0</v>
      </c>
      <c r="S32" s="63" t="n">
        <f aca="false">I32+Q32</f>
        <v>0</v>
      </c>
      <c r="T32" s="64" t="n">
        <f aca="false">ROUND(S32*G32,2)</f>
        <v>0</v>
      </c>
      <c r="U32" s="57" t="n">
        <f aca="false">F32-S32</f>
        <v>20</v>
      </c>
      <c r="V32" s="56" t="n">
        <f aca="false">H32-T32</f>
        <v>7466.6</v>
      </c>
      <c r="W32" s="6" t="n">
        <f aca="false">K32+U32+M32+O32+Q32=F32</f>
        <v>1</v>
      </c>
      <c r="X32" s="6" t="n">
        <f aca="false">L32+V32+N32+P32+R32=H32</f>
        <v>1</v>
      </c>
    </row>
    <row r="33" customFormat="false" ht="18" hidden="false" customHeight="false" outlineLevel="0" collapsed="false">
      <c r="A33" s="51" t="s">
        <v>88</v>
      </c>
      <c r="B33" s="71" t="s">
        <v>89</v>
      </c>
      <c r="C33" s="52" t="s">
        <v>85</v>
      </c>
      <c r="D33" s="53" t="s">
        <v>90</v>
      </c>
      <c r="E33" s="51" t="s">
        <v>91</v>
      </c>
      <c r="F33" s="65" t="n">
        <v>1000</v>
      </c>
      <c r="G33" s="55" t="n">
        <v>42.24</v>
      </c>
      <c r="H33" s="56" t="n">
        <f aca="false">ROUND(G33*F33,2)</f>
        <v>42240</v>
      </c>
      <c r="I33" s="57" t="n">
        <f aca="false">K33+M33+O33</f>
        <v>0</v>
      </c>
      <c r="J33" s="56" t="n">
        <f aca="false">ROUND(I33*G33,2)</f>
        <v>0</v>
      </c>
      <c r="K33" s="57"/>
      <c r="L33" s="58" t="n">
        <f aca="false">ROUND(K33*G33,2)</f>
        <v>0</v>
      </c>
      <c r="M33" s="59"/>
      <c r="N33" s="60" t="n">
        <f aca="false">ROUND(M33*G33,2)</f>
        <v>0</v>
      </c>
      <c r="O33" s="59"/>
      <c r="P33" s="58" t="n">
        <f aca="false">ROUND(O33*G33,2)</f>
        <v>0</v>
      </c>
      <c r="Q33" s="61" t="n">
        <v>8</v>
      </c>
      <c r="R33" s="62" t="n">
        <f aca="false">ROUND(Q33*G33,2)</f>
        <v>337.92</v>
      </c>
      <c r="S33" s="63" t="n">
        <f aca="false">I33+Q33</f>
        <v>8</v>
      </c>
      <c r="T33" s="64" t="n">
        <f aca="false">ROUND(S33*G33,2)</f>
        <v>337.92</v>
      </c>
      <c r="U33" s="57" t="n">
        <f aca="false">F33-S33</f>
        <v>992</v>
      </c>
      <c r="V33" s="56" t="n">
        <f aca="false">H33-T33</f>
        <v>41902.08</v>
      </c>
      <c r="W33" s="6" t="n">
        <f aca="false">K33+U33+M33+O33+Q33=F33</f>
        <v>1</v>
      </c>
      <c r="X33" s="6" t="n">
        <f aca="false">L33+V33+N33+P33+R33=H33</f>
        <v>1</v>
      </c>
    </row>
    <row r="34" customFormat="false" ht="36" hidden="false" customHeight="false" outlineLevel="0" collapsed="false">
      <c r="A34" s="51" t="s">
        <v>92</v>
      </c>
      <c r="B34" s="51" t="s">
        <v>93</v>
      </c>
      <c r="C34" s="52" t="s">
        <v>85</v>
      </c>
      <c r="D34" s="53" t="s">
        <v>94</v>
      </c>
      <c r="E34" s="51" t="s">
        <v>95</v>
      </c>
      <c r="F34" s="65" t="n">
        <v>14400</v>
      </c>
      <c r="G34" s="55" t="n">
        <v>13.1</v>
      </c>
      <c r="H34" s="56" t="n">
        <f aca="false">ROUND(G34*F34,2)</f>
        <v>188640</v>
      </c>
      <c r="I34" s="57" t="n">
        <f aca="false">K34+M34+O34</f>
        <v>650.42</v>
      </c>
      <c r="J34" s="56" t="n">
        <f aca="false">ROUND(I34*G34,2)</f>
        <v>8520.5</v>
      </c>
      <c r="K34" s="57"/>
      <c r="L34" s="58" t="n">
        <f aca="false">ROUND(K34*G34,2)</f>
        <v>0</v>
      </c>
      <c r="M34" s="59"/>
      <c r="N34" s="60" t="n">
        <f aca="false">ROUND(M34*G34,2)</f>
        <v>0</v>
      </c>
      <c r="O34" s="59" t="n">
        <v>650.42</v>
      </c>
      <c r="P34" s="58" t="n">
        <f aca="false">ROUND(O34*G34,2)</f>
        <v>8520.5</v>
      </c>
      <c r="Q34" s="61" t="n">
        <v>5761.99</v>
      </c>
      <c r="R34" s="62" t="n">
        <f aca="false">ROUND(Q34*G34,2)+0.04</f>
        <v>75482.11</v>
      </c>
      <c r="S34" s="63" t="n">
        <f aca="false">I34+Q34</f>
        <v>6412.41</v>
      </c>
      <c r="T34" s="64" t="n">
        <f aca="false">ROUND(S34*G34,2)</f>
        <v>84002.57</v>
      </c>
      <c r="U34" s="57" t="n">
        <f aca="false">F34-S34</f>
        <v>7987.59</v>
      </c>
      <c r="V34" s="56" t="n">
        <f aca="false">H34-T34</f>
        <v>104637.43</v>
      </c>
      <c r="W34" s="6" t="n">
        <f aca="false">K34+U34+M34+O34+Q34=F34</f>
        <v>1</v>
      </c>
      <c r="X34" s="6" t="n">
        <f aca="false">L34+V34+N34+P34+R34=H34</f>
        <v>0</v>
      </c>
    </row>
    <row r="35" customFormat="false" ht="18" hidden="false" customHeight="false" outlineLevel="0" collapsed="false">
      <c r="A35" s="51" t="s">
        <v>96</v>
      </c>
      <c r="B35" s="51" t="s">
        <v>97</v>
      </c>
      <c r="C35" s="52" t="s">
        <v>25</v>
      </c>
      <c r="D35" s="53" t="s">
        <v>98</v>
      </c>
      <c r="E35" s="51" t="s">
        <v>70</v>
      </c>
      <c r="F35" s="65" t="n">
        <v>180</v>
      </c>
      <c r="G35" s="55" t="n">
        <v>399.28</v>
      </c>
      <c r="H35" s="56" t="n">
        <f aca="false">ROUND(G35*F35,2)</f>
        <v>71870.4</v>
      </c>
      <c r="I35" s="57" t="n">
        <f aca="false">K35+M35+O35</f>
        <v>0</v>
      </c>
      <c r="J35" s="56" t="n">
        <f aca="false">ROUND(I35*G35,2)</f>
        <v>0</v>
      </c>
      <c r="K35" s="57"/>
      <c r="L35" s="58" t="n">
        <f aca="false">ROUND(K35*G35,2)</f>
        <v>0</v>
      </c>
      <c r="M35" s="59"/>
      <c r="N35" s="60" t="n">
        <f aca="false">ROUND(M35*G35,2)</f>
        <v>0</v>
      </c>
      <c r="O35" s="59"/>
      <c r="P35" s="58" t="n">
        <f aca="false">ROUND(O35*G35,2)</f>
        <v>0</v>
      </c>
      <c r="Q35" s="61" t="n">
        <v>50</v>
      </c>
      <c r="R35" s="62" t="n">
        <f aca="false">ROUND(Q35*G35,2)</f>
        <v>19964</v>
      </c>
      <c r="S35" s="63" t="n">
        <f aca="false">I35+Q35</f>
        <v>50</v>
      </c>
      <c r="T35" s="64" t="n">
        <f aca="false">ROUND(S35*G35,2)</f>
        <v>19964</v>
      </c>
      <c r="U35" s="57" t="n">
        <f aca="false">F35-S35</f>
        <v>130</v>
      </c>
      <c r="V35" s="56" t="n">
        <f aca="false">H35-T35</f>
        <v>51906.4</v>
      </c>
      <c r="W35" s="6" t="n">
        <f aca="false">K35+U35+M35+O35+Q35=F35</f>
        <v>1</v>
      </c>
      <c r="X35" s="6" t="n">
        <f aca="false">L35+V35+N35+P35+R35=H35</f>
        <v>1</v>
      </c>
    </row>
    <row r="36" customFormat="false" ht="18" hidden="false" customHeight="false" outlineLevel="0" collapsed="false">
      <c r="A36" s="51" t="s">
        <v>99</v>
      </c>
      <c r="B36" s="51" t="s">
        <v>100</v>
      </c>
      <c r="C36" s="52" t="s">
        <v>34</v>
      </c>
      <c r="D36" s="53" t="s">
        <v>101</v>
      </c>
      <c r="E36" s="51" t="s">
        <v>36</v>
      </c>
      <c r="F36" s="65" t="n">
        <v>1000</v>
      </c>
      <c r="G36" s="55" t="n">
        <v>54.6</v>
      </c>
      <c r="H36" s="56" t="n">
        <f aca="false">ROUND(G36*F36,2)</f>
        <v>54600</v>
      </c>
      <c r="I36" s="57" t="n">
        <f aca="false">K36+M36+O36</f>
        <v>0</v>
      </c>
      <c r="J36" s="56" t="n">
        <f aca="false">ROUND(I36*G36,2)</f>
        <v>0</v>
      </c>
      <c r="K36" s="57"/>
      <c r="L36" s="58" t="n">
        <f aca="false">ROUND(K36*G36,2)</f>
        <v>0</v>
      </c>
      <c r="M36" s="59"/>
      <c r="N36" s="60" t="n">
        <f aca="false">ROUND(M36*G36,2)</f>
        <v>0</v>
      </c>
      <c r="O36" s="59"/>
      <c r="P36" s="58" t="n">
        <f aca="false">ROUND(O36*G36,2)</f>
        <v>0</v>
      </c>
      <c r="Q36" s="61" t="n">
        <v>560</v>
      </c>
      <c r="R36" s="62" t="n">
        <f aca="false">ROUND(Q36*G36,2)</f>
        <v>30576</v>
      </c>
      <c r="S36" s="63" t="n">
        <f aca="false">I36+Q36</f>
        <v>560</v>
      </c>
      <c r="T36" s="64" t="n">
        <f aca="false">ROUND(S36*G36,2)</f>
        <v>30576</v>
      </c>
      <c r="U36" s="57" t="n">
        <f aca="false">F36-S36</f>
        <v>440</v>
      </c>
      <c r="V36" s="56" t="n">
        <f aca="false">H36-T36</f>
        <v>24024</v>
      </c>
      <c r="W36" s="6" t="n">
        <f aca="false">K36+U36+M36+O36+Q36=F36</f>
        <v>1</v>
      </c>
      <c r="X36" s="6" t="n">
        <f aca="false">L36+V36+N36+P36+R36=H36</f>
        <v>1</v>
      </c>
    </row>
    <row r="37" customFormat="false" ht="36" hidden="false" customHeight="false" outlineLevel="0" collapsed="false">
      <c r="A37" s="51" t="s">
        <v>102</v>
      </c>
      <c r="B37" s="51" t="s">
        <v>103</v>
      </c>
      <c r="C37" s="52" t="s">
        <v>34</v>
      </c>
      <c r="D37" s="53" t="s">
        <v>104</v>
      </c>
      <c r="E37" s="51" t="s">
        <v>70</v>
      </c>
      <c r="F37" s="65" t="n">
        <v>96</v>
      </c>
      <c r="G37" s="55" t="n">
        <v>5.76</v>
      </c>
      <c r="H37" s="56" t="n">
        <f aca="false">ROUND(G37*F37,2)</f>
        <v>552.96</v>
      </c>
      <c r="I37" s="57" t="n">
        <f aca="false">K37+M37+O37</f>
        <v>0</v>
      </c>
      <c r="J37" s="56" t="n">
        <f aca="false">ROUND(I37*G37,2)</f>
        <v>0</v>
      </c>
      <c r="K37" s="57"/>
      <c r="L37" s="58" t="n">
        <f aca="false">ROUND(K37*G37,2)</f>
        <v>0</v>
      </c>
      <c r="M37" s="59"/>
      <c r="N37" s="60" t="n">
        <f aca="false">ROUND(M37*G37,2)</f>
        <v>0</v>
      </c>
      <c r="O37" s="59"/>
      <c r="P37" s="58" t="n">
        <f aca="false">ROUND(O37*G37,2)</f>
        <v>0</v>
      </c>
      <c r="Q37" s="61" t="n">
        <v>96</v>
      </c>
      <c r="R37" s="62" t="n">
        <f aca="false">ROUND(Q37*G37,2)</f>
        <v>552.96</v>
      </c>
      <c r="S37" s="63" t="n">
        <f aca="false">I37+Q37</f>
        <v>96</v>
      </c>
      <c r="T37" s="64" t="n">
        <f aca="false">ROUND(S37*G37,2)</f>
        <v>552.96</v>
      </c>
      <c r="U37" s="57" t="n">
        <f aca="false">F37-S37</f>
        <v>0</v>
      </c>
      <c r="V37" s="56" t="n">
        <f aca="false">H37-T37</f>
        <v>0</v>
      </c>
      <c r="W37" s="6" t="n">
        <f aca="false">K37+U37+M37+O37+Q37=F37</f>
        <v>1</v>
      </c>
      <c r="X37" s="6" t="n">
        <f aca="false">L37+V37+N37+P37+R37=H37</f>
        <v>1</v>
      </c>
    </row>
    <row r="38" customFormat="false" ht="36" hidden="false" customHeight="false" outlineLevel="0" collapsed="false">
      <c r="A38" s="51" t="s">
        <v>105</v>
      </c>
      <c r="B38" s="51" t="s">
        <v>106</v>
      </c>
      <c r="C38" s="52" t="s">
        <v>25</v>
      </c>
      <c r="D38" s="53" t="s">
        <v>107</v>
      </c>
      <c r="E38" s="51" t="s">
        <v>70</v>
      </c>
      <c r="F38" s="65" t="n">
        <v>460.8</v>
      </c>
      <c r="G38" s="55" t="n">
        <v>5.29</v>
      </c>
      <c r="H38" s="56" t="n">
        <f aca="false">ROUND(G38*F38,2)</f>
        <v>2437.63</v>
      </c>
      <c r="I38" s="57" t="n">
        <f aca="false">K38+M38+O38</f>
        <v>0</v>
      </c>
      <c r="J38" s="56" t="n">
        <f aca="false">ROUND(I38*G38,2)</f>
        <v>0</v>
      </c>
      <c r="K38" s="57"/>
      <c r="L38" s="58" t="n">
        <f aca="false">ROUND(K38*G38,2)</f>
        <v>0</v>
      </c>
      <c r="M38" s="59"/>
      <c r="N38" s="60" t="n">
        <f aca="false">ROUND(M38*G38,2)</f>
        <v>0</v>
      </c>
      <c r="O38" s="59"/>
      <c r="P38" s="58" t="n">
        <f aca="false">ROUND(O38*G38,2)</f>
        <v>0</v>
      </c>
      <c r="Q38" s="61" t="n">
        <v>460.8</v>
      </c>
      <c r="R38" s="62" t="n">
        <f aca="false">ROUND(Q38*G38,2)</f>
        <v>2437.63</v>
      </c>
      <c r="S38" s="63" t="n">
        <f aca="false">I38+Q38</f>
        <v>460.8</v>
      </c>
      <c r="T38" s="64" t="n">
        <f aca="false">ROUND(S38*G38,2)</f>
        <v>2437.63</v>
      </c>
      <c r="U38" s="57" t="n">
        <f aca="false">F38-S38</f>
        <v>0</v>
      </c>
      <c r="V38" s="56" t="n">
        <f aca="false">H38-T38</f>
        <v>0</v>
      </c>
      <c r="W38" s="6" t="n">
        <f aca="false">K38+U38+M38+O38+Q38=F38</f>
        <v>1</v>
      </c>
      <c r="X38" s="6" t="n">
        <f aca="false">L38+V38+N38+P38+R38=H38</f>
        <v>1</v>
      </c>
    </row>
    <row r="39" customFormat="false" ht="18" hidden="false" customHeight="false" outlineLevel="0" collapsed="false">
      <c r="A39" s="51" t="s">
        <v>108</v>
      </c>
      <c r="B39" s="51" t="s">
        <v>109</v>
      </c>
      <c r="C39" s="52" t="s">
        <v>39</v>
      </c>
      <c r="D39" s="53" t="s">
        <v>110</v>
      </c>
      <c r="E39" s="51" t="s">
        <v>74</v>
      </c>
      <c r="F39" s="65" t="n">
        <v>1600</v>
      </c>
      <c r="G39" s="55" t="n">
        <v>6.63</v>
      </c>
      <c r="H39" s="56" t="n">
        <f aca="false">ROUND(G39*F39,2)</f>
        <v>10608</v>
      </c>
      <c r="I39" s="57" t="n">
        <f aca="false">K39+M39+O39</f>
        <v>82.02</v>
      </c>
      <c r="J39" s="56" t="n">
        <f aca="false">ROUND(I39*G39,2)</f>
        <v>543.79</v>
      </c>
      <c r="K39" s="57"/>
      <c r="L39" s="58" t="n">
        <f aca="false">ROUND(K39*G39,2)</f>
        <v>0</v>
      </c>
      <c r="M39" s="59" t="n">
        <v>82.02</v>
      </c>
      <c r="N39" s="60" t="n">
        <f aca="false">ROUND(M39*G39,2)</f>
        <v>543.79</v>
      </c>
      <c r="O39" s="59"/>
      <c r="P39" s="58" t="n">
        <f aca="false">ROUND(O39*G39,2)</f>
        <v>0</v>
      </c>
      <c r="Q39" s="61" t="n">
        <v>1517.98</v>
      </c>
      <c r="R39" s="62" t="n">
        <f aca="false">ROUND(Q39*G39,2)</f>
        <v>10064.21</v>
      </c>
      <c r="S39" s="63" t="n">
        <f aca="false">I39+Q39</f>
        <v>1600</v>
      </c>
      <c r="T39" s="64" t="n">
        <f aca="false">ROUND(S39*G39,2)</f>
        <v>10608</v>
      </c>
      <c r="U39" s="57" t="n">
        <f aca="false">F39-S39</f>
        <v>0</v>
      </c>
      <c r="V39" s="56" t="n">
        <f aca="false">H39-T39</f>
        <v>0</v>
      </c>
      <c r="W39" s="6" t="n">
        <f aca="false">K39+U39+M39+O39+Q39=F39</f>
        <v>1</v>
      </c>
      <c r="X39" s="6" t="n">
        <f aca="false">L39+V39+N39+P39+R39=H39</f>
        <v>1</v>
      </c>
    </row>
    <row r="40" customFormat="false" ht="15" hidden="false" customHeight="true" outlineLevel="0" collapsed="false">
      <c r="A40" s="67" t="s">
        <v>46</v>
      </c>
      <c r="B40" s="67"/>
      <c r="C40" s="67"/>
      <c r="D40" s="67"/>
      <c r="E40" s="67"/>
      <c r="F40" s="67"/>
      <c r="G40" s="67"/>
      <c r="H40" s="35" t="n">
        <f aca="false">SUM(H31:H39)</f>
        <v>400105.59</v>
      </c>
      <c r="I40" s="35"/>
      <c r="J40" s="35" t="n">
        <f aca="false">SUM(J31:J39)</f>
        <v>9064.29</v>
      </c>
      <c r="K40" s="35"/>
      <c r="L40" s="37" t="n">
        <f aca="false">SUM(L31:L39)</f>
        <v>0</v>
      </c>
      <c r="M40" s="68"/>
      <c r="N40" s="36" t="n">
        <f aca="false">SUM(N31:N39)</f>
        <v>543.79</v>
      </c>
      <c r="O40" s="68"/>
      <c r="P40" s="37" t="n">
        <f aca="false">SUM(P31:P39)</f>
        <v>8520.5</v>
      </c>
      <c r="Q40" s="68"/>
      <c r="R40" s="36" t="n">
        <f aca="false">SUM(R31:R39)</f>
        <v>139414.83</v>
      </c>
      <c r="S40" s="69"/>
      <c r="T40" s="35" t="n">
        <f aca="false">SUM(T31:T39)</f>
        <v>148479.08</v>
      </c>
      <c r="U40" s="35"/>
      <c r="V40" s="35" t="n">
        <f aca="false">SUM(V31:V39)</f>
        <v>251626.51</v>
      </c>
      <c r="W40" s="6" t="n">
        <f aca="false">K40+U40+M40+O40+Q40=F40</f>
        <v>1</v>
      </c>
      <c r="X40" s="6" t="n">
        <f aca="false">L40+V40+N40+P40+R40=H40</f>
        <v>0</v>
      </c>
    </row>
    <row r="41" customFormat="false" ht="18" hidden="false" customHeight="false" outlineLevel="0" collapsed="false">
      <c r="A41" s="42" t="s">
        <v>111</v>
      </c>
      <c r="B41" s="42"/>
      <c r="C41" s="42"/>
      <c r="D41" s="43" t="s">
        <v>112</v>
      </c>
      <c r="E41" s="42"/>
      <c r="F41" s="44"/>
      <c r="G41" s="45"/>
      <c r="H41" s="46"/>
      <c r="I41" s="46"/>
      <c r="J41" s="46"/>
      <c r="K41" s="46"/>
      <c r="L41" s="46"/>
      <c r="M41" s="46"/>
      <c r="N41" s="46"/>
      <c r="O41" s="46"/>
      <c r="P41" s="47"/>
      <c r="Q41" s="48"/>
      <c r="R41" s="49"/>
      <c r="S41" s="50"/>
      <c r="T41" s="46"/>
      <c r="U41" s="46"/>
      <c r="V41" s="46"/>
      <c r="W41" s="6" t="n">
        <f aca="false">K41+U41+M41+O41+Q41=F41</f>
        <v>1</v>
      </c>
      <c r="X41" s="6" t="n">
        <f aca="false">L41+V41+N41+P41+R41=H41</f>
        <v>1</v>
      </c>
    </row>
    <row r="42" customFormat="false" ht="36" hidden="false" customHeight="false" outlineLevel="0" collapsed="false">
      <c r="A42" s="51" t="s">
        <v>113</v>
      </c>
      <c r="B42" s="51" t="s">
        <v>114</v>
      </c>
      <c r="C42" s="52" t="s">
        <v>25</v>
      </c>
      <c r="D42" s="53" t="s">
        <v>115</v>
      </c>
      <c r="E42" s="51" t="s">
        <v>116</v>
      </c>
      <c r="F42" s="65" t="n">
        <v>1</v>
      </c>
      <c r="G42" s="55" t="n">
        <v>6754.12</v>
      </c>
      <c r="H42" s="56" t="n">
        <f aca="false">ROUND(G42*F42,2)</f>
        <v>6754.12</v>
      </c>
      <c r="I42" s="57" t="n">
        <f aca="false">K42+M42+O42</f>
        <v>0</v>
      </c>
      <c r="J42" s="56" t="n">
        <f aca="false">ROUND(I42*G42,2)</f>
        <v>0</v>
      </c>
      <c r="K42" s="57"/>
      <c r="L42" s="58" t="n">
        <f aca="false">ROUND(K42*G42,2)</f>
        <v>0</v>
      </c>
      <c r="M42" s="59"/>
      <c r="N42" s="60" t="n">
        <f aca="false">ROUND(M42*G42,2)</f>
        <v>0</v>
      </c>
      <c r="O42" s="59"/>
      <c r="P42" s="58" t="n">
        <f aca="false">ROUND(O42*G42,2)</f>
        <v>0</v>
      </c>
      <c r="Q42" s="61"/>
      <c r="R42" s="62" t="n">
        <f aca="false">ROUND(Q42*G42,2)</f>
        <v>0</v>
      </c>
      <c r="S42" s="63" t="n">
        <f aca="false">I42+Q42</f>
        <v>0</v>
      </c>
      <c r="T42" s="64" t="n">
        <f aca="false">ROUND(S42*G42,2)</f>
        <v>0</v>
      </c>
      <c r="U42" s="57" t="n">
        <f aca="false">F42-S42</f>
        <v>1</v>
      </c>
      <c r="V42" s="56" t="n">
        <f aca="false">H42-T42</f>
        <v>6754.12</v>
      </c>
      <c r="W42" s="6" t="n">
        <f aca="false">K42+U42+M42+O42+Q42=F42</f>
        <v>1</v>
      </c>
      <c r="X42" s="6" t="n">
        <f aca="false">L42+V42+N42+P42+R42=H42</f>
        <v>1</v>
      </c>
    </row>
    <row r="43" customFormat="false" ht="36" hidden="false" customHeight="false" outlineLevel="0" collapsed="false">
      <c r="A43" s="51" t="s">
        <v>117</v>
      </c>
      <c r="B43" s="70" t="s">
        <v>118</v>
      </c>
      <c r="C43" s="52" t="s">
        <v>25</v>
      </c>
      <c r="D43" s="53" t="s">
        <v>119</v>
      </c>
      <c r="E43" s="51" t="s">
        <v>116</v>
      </c>
      <c r="F43" s="72" t="n">
        <v>1</v>
      </c>
      <c r="G43" s="55" t="n">
        <v>7974.57</v>
      </c>
      <c r="H43" s="56" t="n">
        <f aca="false">ROUND(G43*F43,2)</f>
        <v>7974.57</v>
      </c>
      <c r="I43" s="57" t="n">
        <f aca="false">K43+M43+O43</f>
        <v>0</v>
      </c>
      <c r="J43" s="56" t="n">
        <f aca="false">ROUND(I43*G43,2)</f>
        <v>0</v>
      </c>
      <c r="K43" s="57"/>
      <c r="L43" s="58" t="n">
        <f aca="false">ROUND(K43*G43,2)</f>
        <v>0</v>
      </c>
      <c r="M43" s="59"/>
      <c r="N43" s="60" t="n">
        <f aca="false">ROUND(M43*G43,2)</f>
        <v>0</v>
      </c>
      <c r="O43" s="59"/>
      <c r="P43" s="58" t="n">
        <f aca="false">ROUND(O43*G43,2)</f>
        <v>0</v>
      </c>
      <c r="Q43" s="61"/>
      <c r="R43" s="62" t="n">
        <f aca="false">ROUND(Q43*G43,2)</f>
        <v>0</v>
      </c>
      <c r="S43" s="63" t="n">
        <f aca="false">I43+Q43</f>
        <v>0</v>
      </c>
      <c r="T43" s="64" t="n">
        <f aca="false">ROUND(S43*G43,2)</f>
        <v>0</v>
      </c>
      <c r="U43" s="57" t="n">
        <f aca="false">F43-S43</f>
        <v>1</v>
      </c>
      <c r="V43" s="56" t="n">
        <f aca="false">H43-T43</f>
        <v>7974.57</v>
      </c>
      <c r="W43" s="6" t="n">
        <f aca="false">K43+U43+M43+O43+Q43=F43</f>
        <v>1</v>
      </c>
      <c r="X43" s="6" t="n">
        <f aca="false">L43+V43+N43+P43+R43=H43</f>
        <v>1</v>
      </c>
    </row>
    <row r="44" customFormat="false" ht="36" hidden="false" customHeight="false" outlineLevel="0" collapsed="false">
      <c r="A44" s="51" t="s">
        <v>120</v>
      </c>
      <c r="B44" s="51" t="s">
        <v>121</v>
      </c>
      <c r="C44" s="52" t="s">
        <v>39</v>
      </c>
      <c r="D44" s="53" t="s">
        <v>122</v>
      </c>
      <c r="E44" s="51" t="s">
        <v>116</v>
      </c>
      <c r="F44" s="65" t="n">
        <v>1</v>
      </c>
      <c r="G44" s="55" t="n">
        <v>2102.52</v>
      </c>
      <c r="H44" s="56" t="n">
        <f aca="false">ROUND(G44*F44,2)</f>
        <v>2102.52</v>
      </c>
      <c r="I44" s="57" t="n">
        <f aca="false">K44+M44+O44</f>
        <v>0</v>
      </c>
      <c r="J44" s="56" t="n">
        <f aca="false">ROUND(I44*G44,2)</f>
        <v>0</v>
      </c>
      <c r="K44" s="57"/>
      <c r="L44" s="58" t="n">
        <f aca="false">ROUND(K44*G44,2)</f>
        <v>0</v>
      </c>
      <c r="M44" s="59"/>
      <c r="N44" s="60" t="n">
        <f aca="false">ROUND(M44*G44,2)</f>
        <v>0</v>
      </c>
      <c r="O44" s="59"/>
      <c r="P44" s="58" t="n">
        <f aca="false">ROUND(O44*G44,2)</f>
        <v>0</v>
      </c>
      <c r="Q44" s="61"/>
      <c r="R44" s="62" t="n">
        <f aca="false">ROUND(Q44*G44,2)</f>
        <v>0</v>
      </c>
      <c r="S44" s="63" t="n">
        <f aca="false">I44+Q44</f>
        <v>0</v>
      </c>
      <c r="T44" s="64" t="n">
        <f aca="false">ROUND(S44*G44,2)</f>
        <v>0</v>
      </c>
      <c r="U44" s="57" t="n">
        <f aca="false">F44-S44</f>
        <v>1</v>
      </c>
      <c r="V44" s="56" t="n">
        <f aca="false">H44-T44</f>
        <v>2102.52</v>
      </c>
      <c r="W44" s="6" t="n">
        <f aca="false">K44+U44+M44+O44+Q44=F44</f>
        <v>1</v>
      </c>
      <c r="X44" s="6" t="n">
        <f aca="false">L44+V44+N44+P44+R44=H44</f>
        <v>1</v>
      </c>
    </row>
    <row r="45" customFormat="false" ht="36" hidden="false" customHeight="false" outlineLevel="0" collapsed="false">
      <c r="A45" s="51" t="s">
        <v>123</v>
      </c>
      <c r="B45" s="51" t="s">
        <v>124</v>
      </c>
      <c r="C45" s="52" t="s">
        <v>39</v>
      </c>
      <c r="D45" s="53" t="s">
        <v>125</v>
      </c>
      <c r="E45" s="51" t="s">
        <v>116</v>
      </c>
      <c r="F45" s="65" t="n">
        <v>1</v>
      </c>
      <c r="G45" s="55" t="n">
        <v>21080.82</v>
      </c>
      <c r="H45" s="56" t="n">
        <f aca="false">ROUND(G45*F45,2)</f>
        <v>21080.82</v>
      </c>
      <c r="I45" s="57" t="n">
        <f aca="false">K45+M45+O45</f>
        <v>0</v>
      </c>
      <c r="J45" s="56" t="n">
        <f aca="false">ROUND(I45*G45,2)</f>
        <v>0</v>
      </c>
      <c r="K45" s="57"/>
      <c r="L45" s="58" t="n">
        <f aca="false">ROUND(K45*G45,2)</f>
        <v>0</v>
      </c>
      <c r="M45" s="59"/>
      <c r="N45" s="60" t="n">
        <f aca="false">ROUND(M45*G45,2)</f>
        <v>0</v>
      </c>
      <c r="O45" s="59"/>
      <c r="P45" s="58" t="n">
        <f aca="false">ROUND(O45*G45,2)</f>
        <v>0</v>
      </c>
      <c r="Q45" s="61"/>
      <c r="R45" s="62" t="n">
        <f aca="false">ROUND(Q45*G45,2)</f>
        <v>0</v>
      </c>
      <c r="S45" s="63" t="n">
        <f aca="false">I45+Q45</f>
        <v>0</v>
      </c>
      <c r="T45" s="64" t="n">
        <f aca="false">ROUND(S45*G45,2)</f>
        <v>0</v>
      </c>
      <c r="U45" s="57" t="n">
        <f aca="false">F45-S45</f>
        <v>1</v>
      </c>
      <c r="V45" s="56" t="n">
        <f aca="false">H45-T45</f>
        <v>21080.82</v>
      </c>
      <c r="W45" s="6" t="n">
        <f aca="false">K45+U45+M45+O45+Q45=F45</f>
        <v>1</v>
      </c>
      <c r="X45" s="6" t="n">
        <f aca="false">L45+V45+N45+P45+R45=H45</f>
        <v>1</v>
      </c>
    </row>
    <row r="46" customFormat="false" ht="54" hidden="false" customHeight="false" outlineLevel="0" collapsed="false">
      <c r="A46" s="51" t="s">
        <v>126</v>
      </c>
      <c r="B46" s="51" t="s">
        <v>127</v>
      </c>
      <c r="C46" s="52" t="s">
        <v>39</v>
      </c>
      <c r="D46" s="73" t="s">
        <v>128</v>
      </c>
      <c r="E46" s="51" t="s">
        <v>129</v>
      </c>
      <c r="F46" s="65" t="n">
        <v>1.6</v>
      </c>
      <c r="G46" s="55" t="n">
        <v>494.7</v>
      </c>
      <c r="H46" s="56" t="n">
        <f aca="false">ROUND(G46*F46,2)</f>
        <v>791.52</v>
      </c>
      <c r="I46" s="57" t="n">
        <f aca="false">K46+M46+O46</f>
        <v>0</v>
      </c>
      <c r="J46" s="56" t="n">
        <f aca="false">ROUND(I46*G46,2)</f>
        <v>0</v>
      </c>
      <c r="K46" s="57"/>
      <c r="L46" s="58" t="n">
        <f aca="false">ROUND(K46*G46,2)</f>
        <v>0</v>
      </c>
      <c r="M46" s="59"/>
      <c r="N46" s="60" t="n">
        <f aca="false">ROUND(M46*G46,2)</f>
        <v>0</v>
      </c>
      <c r="O46" s="59"/>
      <c r="P46" s="58" t="n">
        <f aca="false">ROUND(O46*G46,2)</f>
        <v>0</v>
      </c>
      <c r="Q46" s="61"/>
      <c r="R46" s="62" t="n">
        <f aca="false">ROUND(Q46*G46,2)</f>
        <v>0</v>
      </c>
      <c r="S46" s="63" t="n">
        <f aca="false">I46+Q46</f>
        <v>0</v>
      </c>
      <c r="T46" s="64" t="n">
        <f aca="false">ROUND(S46*G46,2)</f>
        <v>0</v>
      </c>
      <c r="U46" s="57" t="n">
        <f aca="false">F46-S46</f>
        <v>1.6</v>
      </c>
      <c r="V46" s="56" t="n">
        <f aca="false">H46-T46</f>
        <v>791.52</v>
      </c>
      <c r="W46" s="6" t="n">
        <f aca="false">K46+U46+M46+O46+Q46=F46</f>
        <v>1</v>
      </c>
      <c r="X46" s="6" t="n">
        <f aca="false">L46+V46+N46+P46+R46=H46</f>
        <v>1</v>
      </c>
    </row>
    <row r="47" customFormat="false" ht="15" hidden="false" customHeight="true" outlineLevel="0" collapsed="false">
      <c r="A47" s="67" t="s">
        <v>46</v>
      </c>
      <c r="B47" s="67"/>
      <c r="C47" s="67"/>
      <c r="D47" s="67"/>
      <c r="E47" s="67"/>
      <c r="F47" s="67"/>
      <c r="G47" s="67"/>
      <c r="H47" s="35" t="n">
        <f aca="false">SUM(H42:H46)</f>
        <v>38703.55</v>
      </c>
      <c r="I47" s="35"/>
      <c r="J47" s="35" t="n">
        <f aca="false">SUM(J42:J46)</f>
        <v>0</v>
      </c>
      <c r="K47" s="35"/>
      <c r="L47" s="37" t="n">
        <f aca="false">SUM(L42:L46)</f>
        <v>0</v>
      </c>
      <c r="M47" s="74"/>
      <c r="N47" s="75" t="n">
        <f aca="false">SUM(N42:N46)</f>
        <v>0</v>
      </c>
      <c r="O47" s="74"/>
      <c r="P47" s="76" t="n">
        <f aca="false">SUM(P42:P46)</f>
        <v>0</v>
      </c>
      <c r="Q47" s="74"/>
      <c r="R47" s="75" t="n">
        <f aca="false">SUM(R42:R46)</f>
        <v>0</v>
      </c>
      <c r="S47" s="69"/>
      <c r="T47" s="35" t="n">
        <f aca="false">SUM(T42:T46)</f>
        <v>0</v>
      </c>
      <c r="U47" s="35"/>
      <c r="V47" s="35" t="n">
        <f aca="false">SUM(V42:V46)</f>
        <v>38703.55</v>
      </c>
      <c r="W47" s="6" t="n">
        <f aca="false">K47+U47+M47+O47+Q47=F47</f>
        <v>1</v>
      </c>
      <c r="X47" s="6" t="n">
        <f aca="false">L47+V47+N47+P47+R47=H47</f>
        <v>1</v>
      </c>
    </row>
    <row r="48" customFormat="false" ht="9" hidden="false" customHeight="true" outlineLevel="0" collapsed="false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</row>
    <row r="49" customFormat="false" ht="18.75" hidden="false" customHeight="true" outlineLevel="0" collapsed="false">
      <c r="A49" s="67" t="s">
        <v>130</v>
      </c>
      <c r="B49" s="67"/>
      <c r="C49" s="67"/>
      <c r="D49" s="67"/>
      <c r="E49" s="67"/>
      <c r="F49" s="67"/>
      <c r="G49" s="67"/>
      <c r="H49" s="35" t="n">
        <f aca="false">H47+H40+H29+H22+H17</f>
        <v>549340.52</v>
      </c>
      <c r="I49" s="35"/>
      <c r="J49" s="35" t="n">
        <f aca="false">J47+J40+J29+J22+J17</f>
        <v>40184.17</v>
      </c>
      <c r="K49" s="35"/>
      <c r="L49" s="37" t="n">
        <f aca="false">L47+L40+L29+L22+L17</f>
        <v>4386.17</v>
      </c>
      <c r="M49" s="77"/>
      <c r="N49" s="78" t="n">
        <f aca="false">N47+N40+N29+N22+N17</f>
        <v>25851.13</v>
      </c>
      <c r="O49" s="77"/>
      <c r="P49" s="78" t="n">
        <f aca="false">P47+P40+P29+P22+P17</f>
        <v>9946.87</v>
      </c>
      <c r="Q49" s="77"/>
      <c r="R49" s="78" t="n">
        <f aca="false">R47+R40+R29+R22+R17</f>
        <v>185789.39</v>
      </c>
      <c r="S49" s="69"/>
      <c r="T49" s="35" t="n">
        <f aca="false">T47+T40+T29+T22+T17</f>
        <v>225973.52</v>
      </c>
      <c r="U49" s="35"/>
      <c r="V49" s="35" t="n">
        <f aca="false">V47+V40+V29+V22+V17</f>
        <v>323367</v>
      </c>
      <c r="W49" s="6" t="n">
        <f aca="false">K49+U49+M49+O49+Q49=F49</f>
        <v>1</v>
      </c>
      <c r="X49" s="6" t="n">
        <f aca="false">L49+V49+N49+P49+R49=H49</f>
        <v>0</v>
      </c>
    </row>
    <row r="50" customFormat="false" ht="12" hidden="false" customHeight="true" outlineLevel="0" collapsed="false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customFormat="false" ht="36" hidden="false" customHeight="false" outlineLevel="0" collapsed="false">
      <c r="A51" s="79"/>
      <c r="B51" s="79" t="s">
        <v>131</v>
      </c>
      <c r="C51" s="79" t="s">
        <v>132</v>
      </c>
      <c r="D51" s="73" t="s">
        <v>133</v>
      </c>
      <c r="E51" s="80" t="s">
        <v>134</v>
      </c>
      <c r="F51" s="81" t="n">
        <v>1.98</v>
      </c>
      <c r="G51" s="55" t="n">
        <f aca="false">ROUND(H49*F51/100,2)</f>
        <v>10876.94</v>
      </c>
      <c r="H51" s="56" t="n">
        <f aca="false">G51</f>
        <v>10876.94</v>
      </c>
      <c r="I51" s="57" t="n">
        <f aca="false">K51+M51+O51</f>
        <v>0.139726728062416</v>
      </c>
      <c r="J51" s="56" t="n">
        <f aca="false">ROUND(H49*I51/100,2)</f>
        <v>767.58</v>
      </c>
      <c r="K51" s="82" t="n">
        <v>0.01584</v>
      </c>
      <c r="L51" s="83" t="n">
        <f aca="false">ROUND(H49*K51/100,2)</f>
        <v>87.02</v>
      </c>
      <c r="M51" s="84" t="n">
        <v>0.093175358</v>
      </c>
      <c r="N51" s="85" t="n">
        <f aca="false">ROUND(H49*M51/100,2)</f>
        <v>511.85</v>
      </c>
      <c r="O51" s="86" t="n">
        <v>0.0307113700624159</v>
      </c>
      <c r="P51" s="85" t="n">
        <f aca="false">ROUND(H49*O51/100,2)</f>
        <v>168.71</v>
      </c>
      <c r="Q51" s="87" t="n">
        <f aca="false">(R49/H49)</f>
        <v>0.33820441645193</v>
      </c>
      <c r="R51" s="88" t="n">
        <f aca="false">ROUND(Q51*G51,2)</f>
        <v>3678.63</v>
      </c>
      <c r="S51" s="63" t="n">
        <f aca="false">I51+Q51</f>
        <v>0.477931144514346</v>
      </c>
      <c r="T51" s="56" t="n">
        <f aca="false">J51+R51</f>
        <v>4446.21</v>
      </c>
      <c r="U51" s="57" t="n">
        <f aca="false">F51-S51</f>
        <v>1.50206885548565</v>
      </c>
      <c r="V51" s="56" t="n">
        <f aca="false">H51-T51</f>
        <v>6430.73</v>
      </c>
      <c r="W51" s="6" t="n">
        <f aca="false">K51+U51+M51+O51+Q51=F51</f>
        <v>1</v>
      </c>
      <c r="X51" s="6" t="n">
        <f aca="false">L51+V51+N51+P51+R51=H51</f>
        <v>1</v>
      </c>
    </row>
    <row r="52" customFormat="false" ht="18" hidden="false" customHeight="true" outlineLevel="0" collapsed="false">
      <c r="A52" s="67" t="s">
        <v>130</v>
      </c>
      <c r="B52" s="67"/>
      <c r="C52" s="67"/>
      <c r="D52" s="67"/>
      <c r="E52" s="67"/>
      <c r="F52" s="67"/>
      <c r="G52" s="67"/>
      <c r="H52" s="35" t="n">
        <f aca="false">H49+H51</f>
        <v>560217.46</v>
      </c>
      <c r="I52" s="35"/>
      <c r="J52" s="35" t="n">
        <f aca="false">J49+J51</f>
        <v>40951.75</v>
      </c>
      <c r="K52" s="35"/>
      <c r="L52" s="37" t="n">
        <f aca="false">L49+L51</f>
        <v>4473.19</v>
      </c>
      <c r="M52" s="68"/>
      <c r="N52" s="36" t="n">
        <f aca="false">N49+N51</f>
        <v>26362.98</v>
      </c>
      <c r="O52" s="68"/>
      <c r="P52" s="36" t="n">
        <f aca="false">P49+P51</f>
        <v>10115.58</v>
      </c>
      <c r="Q52" s="68"/>
      <c r="R52" s="36" t="n">
        <f aca="false">R49+R51</f>
        <v>189468.02</v>
      </c>
      <c r="S52" s="69"/>
      <c r="T52" s="35" t="n">
        <f aca="false">T49+T51</f>
        <v>230419.73</v>
      </c>
      <c r="U52" s="35"/>
      <c r="V52" s="35" t="n">
        <f aca="false">V49+V51</f>
        <v>329797.73</v>
      </c>
      <c r="W52" s="6" t="n">
        <f aca="false">K52+U52+M52+O52+Q52=F52</f>
        <v>1</v>
      </c>
      <c r="X52" s="6" t="n">
        <f aca="false">L52+V52+N52+P52+R52=H52</f>
        <v>0</v>
      </c>
    </row>
    <row r="53" customFormat="false" ht="18.75" hidden="false" customHeight="true" outlineLevel="0" collapsed="false">
      <c r="A53" s="67" t="s">
        <v>135</v>
      </c>
      <c r="B53" s="67"/>
      <c r="C53" s="67"/>
      <c r="D53" s="67"/>
      <c r="E53" s="67"/>
      <c r="F53" s="67"/>
      <c r="G53" s="67"/>
      <c r="H53" s="35" t="n">
        <f aca="false">(H49)*1.2829+(H51)</f>
        <v>715625.893108</v>
      </c>
      <c r="I53" s="35"/>
      <c r="J53" s="35" t="n">
        <f aca="false">J52*1.2829-0.01</f>
        <v>52536.990075</v>
      </c>
      <c r="K53" s="35"/>
      <c r="L53" s="37" t="n">
        <f aca="false">L52*1.2829-0.01</f>
        <v>5738.645451</v>
      </c>
      <c r="M53" s="74"/>
      <c r="N53" s="75" t="n">
        <f aca="false">N52*1.2829+0.01</f>
        <v>33821.077042</v>
      </c>
      <c r="O53" s="74"/>
      <c r="P53" s="75" t="n">
        <f aca="false">P52*1.2829</f>
        <v>12977.277582</v>
      </c>
      <c r="Q53" s="74"/>
      <c r="R53" s="75" t="n">
        <f aca="false">(R52*1.2829)</f>
        <v>243068.522858</v>
      </c>
      <c r="S53" s="69"/>
      <c r="T53" s="35" t="n">
        <f aca="false">(T52*1.2829)+0.04</f>
        <v>295605.511617</v>
      </c>
      <c r="U53" s="35"/>
      <c r="V53" s="35" t="n">
        <f aca="false">(V49)*1.2829+(V51)-(N56+L56+P56+R56)-0.04</f>
        <v>420020.381491</v>
      </c>
      <c r="W53" s="6" t="n">
        <f aca="false">K53+U53+M53+O53+Q53=F53</f>
        <v>1</v>
      </c>
      <c r="X53" s="6" t="n">
        <f aca="false">L53+V53+N53+P53+R53=H53</f>
        <v>0</v>
      </c>
    </row>
    <row r="55" customFormat="false" ht="18" hidden="true" customHeight="false" outlineLevel="0" collapsed="false"/>
    <row r="56" customFormat="false" ht="18" hidden="true" customHeight="false" outlineLevel="0" collapsed="false">
      <c r="L56" s="5" t="n">
        <f aca="false">(L51*0.2829)</f>
        <v>24.617958</v>
      </c>
      <c r="M56" s="5"/>
      <c r="N56" s="5" t="n">
        <f aca="false">(N51*0.2829)</f>
        <v>144.802365</v>
      </c>
      <c r="O56" s="89"/>
      <c r="P56" s="5" t="n">
        <f aca="false">(P51*0.2829)</f>
        <v>47.728059</v>
      </c>
      <c r="R56" s="5" t="n">
        <f aca="false">(R51*0.2829)</f>
        <v>1040.684427</v>
      </c>
    </row>
    <row r="57" customFormat="false" ht="18" hidden="true" customHeight="false" outlineLevel="0" collapsed="false"/>
    <row r="58" customFormat="false" ht="18" hidden="true" customHeight="false" outlineLevel="0" collapsed="false">
      <c r="M58" s="3" t="n">
        <f aca="false">N49*F51/100</f>
        <v>511.852374</v>
      </c>
      <c r="N58" s="90"/>
      <c r="Q58" s="91"/>
      <c r="R58" s="92"/>
    </row>
    <row r="59" customFormat="false" ht="18" hidden="true" customHeight="false" outlineLevel="0" collapsed="false"/>
    <row r="60" customFormat="false" ht="18" hidden="true" customHeight="false" outlineLevel="0" collapsed="false">
      <c r="O60" s="93"/>
      <c r="Q60" s="94" t="n">
        <f aca="false">R49/H49</f>
        <v>0.33820441645193</v>
      </c>
    </row>
  </sheetData>
  <autoFilter ref="A10:V54"/>
  <mergeCells count="24">
    <mergeCell ref="A3:L3"/>
    <mergeCell ref="A4:L4"/>
    <mergeCell ref="A5:D5"/>
    <mergeCell ref="A6:D6"/>
    <mergeCell ref="A7:D7"/>
    <mergeCell ref="A8:D8"/>
    <mergeCell ref="E9:H9"/>
    <mergeCell ref="I9:J9"/>
    <mergeCell ref="K9:L9"/>
    <mergeCell ref="M9:N9"/>
    <mergeCell ref="O9:P9"/>
    <mergeCell ref="Q9:R9"/>
    <mergeCell ref="S9:T9"/>
    <mergeCell ref="U9:V9"/>
    <mergeCell ref="A17:G17"/>
    <mergeCell ref="A22:G22"/>
    <mergeCell ref="A29:G29"/>
    <mergeCell ref="A40:G40"/>
    <mergeCell ref="A47:G47"/>
    <mergeCell ref="A48:V48"/>
    <mergeCell ref="A49:G49"/>
    <mergeCell ref="A50:V50"/>
    <mergeCell ref="A52:G52"/>
    <mergeCell ref="A53:G53"/>
  </mergeCells>
  <printOptions headings="false" gridLines="false" gridLinesSet="true" horizontalCentered="true" verticalCentered="true"/>
  <pageMargins left="0" right="0" top="0" bottom="0.39375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&amp;CPágina &amp;P de &amp;N</oddFooter>
  </headerFooter>
  <rowBreaks count="1" manualBreakCount="1">
    <brk id="40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88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0" zoomScalePageLayoutView="80" workbookViewId="0">
      <selection pane="topLeft" activeCell="F24" activeCellId="0" sqref="F24"/>
    </sheetView>
  </sheetViews>
  <sheetFormatPr defaultColWidth="9.15625" defaultRowHeight="14.25" zeroHeight="false" outlineLevelRow="0" outlineLevelCol="0"/>
  <cols>
    <col collapsed="false" customWidth="true" hidden="false" outlineLevel="0" max="1" min="1" style="95" width="20.29"/>
    <col collapsed="false" customWidth="true" hidden="false" outlineLevel="0" max="2" min="2" style="96" width="8.42"/>
    <col collapsed="false" customWidth="true" hidden="false" outlineLevel="0" max="3" min="3" style="96" width="24.57"/>
    <col collapsed="false" customWidth="true" hidden="false" outlineLevel="0" max="4" min="4" style="95" width="76.14"/>
    <col collapsed="false" customWidth="true" hidden="false" outlineLevel="0" max="5" min="5" style="96" width="19"/>
    <col collapsed="false" customWidth="true" hidden="false" outlineLevel="0" max="6" min="6" style="96" width="25.71"/>
    <col collapsed="false" customWidth="true" hidden="false" outlineLevel="0" max="7" min="7" style="96" width="29.57"/>
    <col collapsed="false" customWidth="true" hidden="false" outlineLevel="0" max="8" min="8" style="96" width="36"/>
    <col collapsed="false" customWidth="true" hidden="true" outlineLevel="0" max="10" min="9" style="96" width="11.57"/>
    <col collapsed="false" customWidth="true" hidden="false" outlineLevel="0" max="11" min="11" style="96" width="11.71"/>
    <col collapsed="false" customWidth="false" hidden="false" outlineLevel="0" max="1024" min="12" style="96" width="9.14"/>
  </cols>
  <sheetData>
    <row r="1" customFormat="false" ht="14.25" hidden="false" customHeight="false" outlineLevel="0" collapsed="false">
      <c r="A1" s="97"/>
      <c r="B1" s="98"/>
      <c r="C1" s="99"/>
      <c r="D1" s="100"/>
      <c r="E1" s="101"/>
      <c r="F1" s="102"/>
      <c r="G1" s="103"/>
      <c r="H1" s="104"/>
    </row>
    <row r="2" customFormat="false" ht="20.25" hidden="false" customHeight="false" outlineLevel="0" collapsed="false">
      <c r="A2" s="105"/>
      <c r="B2" s="106"/>
      <c r="C2" s="107"/>
      <c r="D2" s="108" t="s">
        <v>136</v>
      </c>
      <c r="E2" s="108"/>
      <c r="F2" s="109" t="s">
        <v>137</v>
      </c>
      <c r="G2" s="110" t="s">
        <v>138</v>
      </c>
      <c r="H2" s="110"/>
    </row>
    <row r="3" customFormat="false" ht="20.25" hidden="false" customHeight="false" outlineLevel="0" collapsed="false">
      <c r="A3" s="105"/>
      <c r="B3" s="111"/>
      <c r="C3" s="112"/>
      <c r="D3" s="108" t="s">
        <v>139</v>
      </c>
      <c r="E3" s="108"/>
      <c r="F3" s="113" t="s">
        <v>140</v>
      </c>
      <c r="G3" s="114"/>
      <c r="H3" s="115" t="s">
        <v>141</v>
      </c>
    </row>
    <row r="4" customFormat="false" ht="30" hidden="false" customHeight="true" outlineLevel="0" collapsed="false">
      <c r="A4" s="105"/>
      <c r="B4" s="111"/>
      <c r="C4" s="112"/>
      <c r="D4" s="108" t="s">
        <v>142</v>
      </c>
      <c r="E4" s="108"/>
      <c r="F4" s="116" t="s">
        <v>143</v>
      </c>
      <c r="G4" s="116"/>
      <c r="H4" s="116"/>
    </row>
    <row r="5" customFormat="false" ht="25.5" hidden="false" customHeight="true" outlineLevel="0" collapsed="false">
      <c r="A5" s="105"/>
      <c r="B5" s="117"/>
      <c r="C5" s="118"/>
      <c r="D5" s="108" t="s">
        <v>144</v>
      </c>
      <c r="E5" s="108"/>
      <c r="F5" s="116" t="s">
        <v>145</v>
      </c>
      <c r="G5" s="116"/>
      <c r="H5" s="116"/>
    </row>
    <row r="6" customFormat="false" ht="20.25" hidden="false" customHeight="false" outlineLevel="0" collapsed="false">
      <c r="A6" s="105"/>
      <c r="B6" s="119"/>
      <c r="C6" s="120"/>
      <c r="D6" s="121" t="s">
        <v>146</v>
      </c>
      <c r="E6" s="121"/>
      <c r="F6" s="121"/>
      <c r="G6" s="121"/>
      <c r="H6" s="112"/>
    </row>
    <row r="7" customFormat="false" ht="15" hidden="false" customHeight="false" outlineLevel="0" collapsed="false">
      <c r="B7" s="122" t="s">
        <v>47</v>
      </c>
      <c r="C7" s="123" t="s">
        <v>48</v>
      </c>
      <c r="D7" s="124"/>
      <c r="E7" s="123"/>
      <c r="F7" s="123"/>
      <c r="G7" s="123"/>
      <c r="H7" s="125"/>
    </row>
    <row r="8" customFormat="false" ht="54" hidden="false" customHeight="false" outlineLevel="0" collapsed="false">
      <c r="B8" s="126"/>
      <c r="C8" s="127" t="s">
        <v>49</v>
      </c>
      <c r="D8" s="53" t="s">
        <v>51</v>
      </c>
      <c r="E8" s="128" t="s">
        <v>52</v>
      </c>
      <c r="F8" s="57" t="n">
        <v>2</v>
      </c>
      <c r="H8" s="129"/>
    </row>
    <row r="9" customFormat="false" ht="54" hidden="false" customHeight="false" outlineLevel="0" collapsed="false">
      <c r="B9" s="126"/>
      <c r="C9" s="51" t="s">
        <v>53</v>
      </c>
      <c r="D9" s="53" t="s">
        <v>55</v>
      </c>
      <c r="E9" s="130" t="s">
        <v>52</v>
      </c>
      <c r="F9" s="131" t="n">
        <v>2</v>
      </c>
      <c r="G9" s="132"/>
      <c r="H9" s="129"/>
    </row>
    <row r="10" customFormat="false" ht="36" hidden="false" customHeight="false" outlineLevel="0" collapsed="false">
      <c r="B10" s="126"/>
      <c r="C10" s="127" t="s">
        <v>56</v>
      </c>
      <c r="D10" s="53" t="s">
        <v>58</v>
      </c>
      <c r="E10" s="128" t="s">
        <v>52</v>
      </c>
      <c r="F10" s="57" t="n">
        <v>2</v>
      </c>
      <c r="H10" s="129"/>
    </row>
    <row r="11" customFormat="false" ht="15" hidden="false" customHeight="false" outlineLevel="0" collapsed="false">
      <c r="B11" s="122" t="s">
        <v>59</v>
      </c>
      <c r="C11" s="123" t="s">
        <v>60</v>
      </c>
      <c r="D11" s="124"/>
      <c r="E11" s="123"/>
      <c r="F11" s="123"/>
      <c r="G11" s="133"/>
      <c r="H11" s="134"/>
    </row>
    <row r="12" customFormat="false" ht="36" hidden="false" customHeight="false" outlineLevel="0" collapsed="false">
      <c r="B12" s="126"/>
      <c r="C12" s="51" t="s">
        <v>61</v>
      </c>
      <c r="D12" s="53" t="s">
        <v>63</v>
      </c>
      <c r="E12" s="130" t="s">
        <v>36</v>
      </c>
      <c r="F12" s="72" t="s">
        <v>147</v>
      </c>
      <c r="G12" s="135"/>
      <c r="H12" s="136"/>
    </row>
    <row r="13" customFormat="false" ht="36" hidden="false" customHeight="false" outlineLevel="0" collapsed="false">
      <c r="B13" s="126"/>
      <c r="C13" s="51" t="s">
        <v>64</v>
      </c>
      <c r="D13" s="53" t="s">
        <v>66</v>
      </c>
      <c r="E13" s="130" t="s">
        <v>36</v>
      </c>
      <c r="F13" s="72" t="s">
        <v>148</v>
      </c>
      <c r="G13" s="135"/>
      <c r="H13" s="137"/>
    </row>
    <row r="14" customFormat="false" ht="36" hidden="false" customHeight="false" outlineLevel="0" collapsed="false">
      <c r="B14" s="126"/>
      <c r="C14" s="51" t="s">
        <v>67</v>
      </c>
      <c r="D14" s="53" t="s">
        <v>69</v>
      </c>
      <c r="E14" s="130" t="s">
        <v>70</v>
      </c>
      <c r="F14" s="131" t="n">
        <v>1558.99</v>
      </c>
      <c r="G14" s="135"/>
      <c r="H14" s="137"/>
    </row>
    <row r="15" customFormat="false" ht="18" hidden="false" customHeight="false" outlineLevel="0" collapsed="false">
      <c r="B15" s="126"/>
      <c r="C15" s="51" t="s">
        <v>71</v>
      </c>
      <c r="D15" s="53" t="s">
        <v>73</v>
      </c>
      <c r="E15" s="130" t="s">
        <v>74</v>
      </c>
      <c r="F15" s="131" t="n">
        <v>3200</v>
      </c>
      <c r="G15" s="135"/>
      <c r="H15" s="137"/>
    </row>
    <row r="16" customFormat="false" ht="18" hidden="false" customHeight="false" outlineLevel="0" collapsed="false">
      <c r="B16" s="126"/>
      <c r="C16" s="51" t="s">
        <v>75</v>
      </c>
      <c r="D16" s="53" t="s">
        <v>77</v>
      </c>
      <c r="E16" s="130" t="s">
        <v>70</v>
      </c>
      <c r="F16" s="131" t="n">
        <v>1558.99</v>
      </c>
      <c r="G16" s="135"/>
      <c r="H16" s="137"/>
    </row>
    <row r="17" customFormat="false" ht="15.75" hidden="false" customHeight="false" outlineLevel="0" collapsed="false">
      <c r="B17" s="126"/>
      <c r="H17" s="138" t="s">
        <v>149</v>
      </c>
    </row>
    <row r="18" customFormat="false" ht="15" hidden="false" customHeight="false" outlineLevel="0" collapsed="false">
      <c r="B18" s="126"/>
      <c r="G18" s="139"/>
      <c r="H18" s="140" t="s">
        <v>150</v>
      </c>
    </row>
    <row r="19" customFormat="false" ht="15.75" hidden="false" customHeight="false" outlineLevel="0" collapsed="false">
      <c r="B19" s="126"/>
      <c r="G19" s="139"/>
      <c r="H19" s="138" t="s">
        <v>151</v>
      </c>
    </row>
    <row r="20" customFormat="false" ht="15" hidden="false" customHeight="false" outlineLevel="0" collapsed="false">
      <c r="B20" s="126"/>
      <c r="G20" s="139"/>
      <c r="H20" s="140" t="s">
        <v>152</v>
      </c>
    </row>
    <row r="21" customFormat="false" ht="15" hidden="false" customHeight="false" outlineLevel="0" collapsed="false">
      <c r="B21" s="126"/>
      <c r="H21" s="136"/>
    </row>
    <row r="22" customFormat="false" ht="31.5" hidden="false" customHeight="false" outlineLevel="0" collapsed="false">
      <c r="B22" s="126"/>
      <c r="H22" s="138" t="s">
        <v>153</v>
      </c>
    </row>
    <row r="23" customFormat="false" ht="14.25" hidden="false" customHeight="false" outlineLevel="0" collapsed="false">
      <c r="B23" s="126"/>
      <c r="H23" s="140" t="str">
        <f aca="false">H18</f>
        <v>134,63*28,95*0,40 = 1558,99</v>
      </c>
    </row>
    <row r="24" customFormat="false" ht="14.25" hidden="false" customHeight="false" outlineLevel="0" collapsed="false">
      <c r="B24" s="126"/>
      <c r="H24" s="137"/>
    </row>
    <row r="25" customFormat="false" ht="14.25" hidden="false" customHeight="false" outlineLevel="0" collapsed="false">
      <c r="B25" s="126"/>
      <c r="H25" s="137"/>
    </row>
    <row r="26" customFormat="false" ht="14.25" hidden="false" customHeight="false" outlineLevel="0" collapsed="false">
      <c r="B26" s="126"/>
      <c r="H26" s="137"/>
    </row>
    <row r="27" customFormat="false" ht="14.25" hidden="false" customHeight="false" outlineLevel="0" collapsed="false">
      <c r="B27" s="126"/>
      <c r="H27" s="137"/>
    </row>
    <row r="28" customFormat="false" ht="14.25" hidden="false" customHeight="false" outlineLevel="0" collapsed="false">
      <c r="B28" s="126"/>
      <c r="H28" s="137"/>
    </row>
    <row r="29" customFormat="false" ht="14.25" hidden="false" customHeight="false" outlineLevel="0" collapsed="false">
      <c r="B29" s="126"/>
      <c r="H29" s="137"/>
    </row>
    <row r="30" customFormat="false" ht="14.25" hidden="false" customHeight="false" outlineLevel="0" collapsed="false">
      <c r="B30" s="126"/>
      <c r="H30" s="137"/>
    </row>
    <row r="31" customFormat="false" ht="14.25" hidden="false" customHeight="false" outlineLevel="0" collapsed="false">
      <c r="B31" s="126"/>
      <c r="H31" s="137"/>
    </row>
    <row r="32" customFormat="false" ht="14.25" hidden="false" customHeight="false" outlineLevel="0" collapsed="false">
      <c r="B32" s="126"/>
      <c r="H32" s="137"/>
    </row>
    <row r="33" customFormat="false" ht="15" hidden="false" customHeight="false" outlineLevel="0" collapsed="false">
      <c r="B33" s="126"/>
      <c r="G33" s="139"/>
      <c r="H33" s="141"/>
    </row>
    <row r="34" customFormat="false" ht="15" hidden="false" customHeight="false" outlineLevel="0" collapsed="false">
      <c r="B34" s="122" t="s">
        <v>78</v>
      </c>
      <c r="C34" s="123" t="s">
        <v>79</v>
      </c>
      <c r="D34" s="124"/>
      <c r="E34" s="123"/>
      <c r="F34" s="123"/>
      <c r="G34" s="142"/>
      <c r="H34" s="143"/>
    </row>
    <row r="35" customFormat="false" ht="18" hidden="false" customHeight="false" outlineLevel="0" collapsed="false">
      <c r="B35" s="126"/>
      <c r="C35" s="51" t="s">
        <v>88</v>
      </c>
      <c r="D35" s="53" t="s">
        <v>90</v>
      </c>
      <c r="E35" s="130" t="s">
        <v>91</v>
      </c>
      <c r="F35" s="131" t="n">
        <v>8</v>
      </c>
      <c r="G35" s="135"/>
      <c r="H35" s="129"/>
    </row>
    <row r="36" customFormat="false" ht="36" hidden="false" customHeight="false" outlineLevel="0" collapsed="false">
      <c r="B36" s="126"/>
      <c r="C36" s="51" t="s">
        <v>92</v>
      </c>
      <c r="D36" s="53" t="s">
        <v>94</v>
      </c>
      <c r="E36" s="130" t="s">
        <v>95</v>
      </c>
      <c r="F36" s="131" t="n">
        <v>5761.99</v>
      </c>
      <c r="G36" s="135"/>
      <c r="H36" s="129"/>
    </row>
    <row r="37" customFormat="false" ht="18" hidden="false" customHeight="false" outlineLevel="0" collapsed="false">
      <c r="B37" s="126"/>
      <c r="C37" s="51" t="s">
        <v>96</v>
      </c>
      <c r="D37" s="53" t="s">
        <v>98</v>
      </c>
      <c r="E37" s="130" t="s">
        <v>70</v>
      </c>
      <c r="F37" s="131" t="n">
        <v>50</v>
      </c>
      <c r="G37" s="135"/>
      <c r="H37" s="144" t="s">
        <v>90</v>
      </c>
    </row>
    <row r="38" customFormat="false" ht="18" hidden="false" customHeight="false" outlineLevel="0" collapsed="false">
      <c r="B38" s="126"/>
      <c r="C38" s="51" t="s">
        <v>99</v>
      </c>
      <c r="D38" s="53" t="s">
        <v>101</v>
      </c>
      <c r="E38" s="130" t="s">
        <v>36</v>
      </c>
      <c r="F38" s="131" t="n">
        <v>560</v>
      </c>
      <c r="G38" s="145" t="s">
        <v>154</v>
      </c>
      <c r="H38" s="146" t="n">
        <f aca="false">2.96*2*0.45</f>
        <v>2.664</v>
      </c>
    </row>
    <row r="39" customFormat="false" ht="36" hidden="false" customHeight="false" outlineLevel="0" collapsed="false">
      <c r="B39" s="126"/>
      <c r="C39" s="51" t="s">
        <v>102</v>
      </c>
      <c r="D39" s="53" t="s">
        <v>104</v>
      </c>
      <c r="E39" s="130" t="s">
        <v>70</v>
      </c>
      <c r="F39" s="72" t="s">
        <v>155</v>
      </c>
      <c r="G39" s="147" t="s">
        <v>156</v>
      </c>
      <c r="H39" s="146" t="n">
        <f aca="false">2.96*2*0.45</f>
        <v>2.664</v>
      </c>
    </row>
    <row r="40" customFormat="false" ht="36" hidden="false" customHeight="false" outlineLevel="0" collapsed="false">
      <c r="B40" s="126"/>
      <c r="C40" s="51" t="s">
        <v>105</v>
      </c>
      <c r="D40" s="53" t="s">
        <v>107</v>
      </c>
      <c r="E40" s="130" t="s">
        <v>70</v>
      </c>
      <c r="F40" s="131" t="n">
        <v>460.8</v>
      </c>
      <c r="G40" s="147" t="s">
        <v>157</v>
      </c>
      <c r="H40" s="146" t="n">
        <f aca="false">2.96*2*0.45</f>
        <v>2.664</v>
      </c>
    </row>
    <row r="41" customFormat="false" ht="18" hidden="false" customHeight="false" outlineLevel="0" collapsed="false">
      <c r="B41" s="126"/>
      <c r="C41" s="51" t="s">
        <v>108</v>
      </c>
      <c r="D41" s="53" t="s">
        <v>110</v>
      </c>
      <c r="E41" s="130" t="s">
        <v>74</v>
      </c>
      <c r="F41" s="131" t="n">
        <v>1517.98</v>
      </c>
      <c r="G41" s="145" t="s">
        <v>158</v>
      </c>
      <c r="H41" s="148" t="n">
        <f aca="false">SUM(H38:H40)</f>
        <v>7.992</v>
      </c>
    </row>
    <row r="42" customFormat="false" ht="18" hidden="false" customHeight="false" outlineLevel="0" collapsed="false">
      <c r="B42" s="126"/>
      <c r="C42" s="149" t="s">
        <v>159</v>
      </c>
      <c r="D42" s="149"/>
      <c r="E42" s="150"/>
      <c r="F42" s="151"/>
      <c r="G42" s="132"/>
      <c r="H42" s="132"/>
    </row>
    <row r="43" customFormat="false" ht="15" hidden="false" customHeight="false" outlineLevel="0" collapsed="false">
      <c r="B43" s="126"/>
      <c r="C43" s="149" t="s">
        <v>160</v>
      </c>
      <c r="D43" s="152" t="s">
        <v>161</v>
      </c>
      <c r="G43" s="132"/>
      <c r="H43" s="132"/>
    </row>
    <row r="44" customFormat="false" ht="38.25" hidden="false" customHeight="false" outlineLevel="0" collapsed="false">
      <c r="B44" s="126"/>
      <c r="C44" s="153" t="s">
        <v>162</v>
      </c>
      <c r="D44" s="153" t="s">
        <v>163</v>
      </c>
      <c r="H44" s="129"/>
    </row>
    <row r="45" customFormat="false" ht="38.25" hidden="false" customHeight="false" outlineLevel="0" collapsed="false">
      <c r="B45" s="126"/>
      <c r="C45" s="153" t="s">
        <v>164</v>
      </c>
      <c r="D45" s="153" t="s">
        <v>165</v>
      </c>
      <c r="G45" s="132"/>
      <c r="H45" s="149" t="s">
        <v>166</v>
      </c>
    </row>
    <row r="46" customFormat="false" ht="15" hidden="false" customHeight="false" outlineLevel="0" collapsed="false">
      <c r="B46" s="126"/>
      <c r="C46" s="153"/>
      <c r="D46" s="153" t="s">
        <v>167</v>
      </c>
      <c r="G46" s="132"/>
      <c r="H46" s="152" t="s">
        <v>168</v>
      </c>
    </row>
    <row r="47" customFormat="false" ht="38.25" hidden="false" customHeight="false" outlineLevel="0" collapsed="false">
      <c r="B47" s="126"/>
      <c r="C47" s="152" t="s">
        <v>169</v>
      </c>
      <c r="D47" s="152" t="s">
        <v>170</v>
      </c>
      <c r="G47" s="135"/>
      <c r="H47" s="153" t="s">
        <v>171</v>
      </c>
    </row>
    <row r="48" customFormat="false" ht="38.25" hidden="false" customHeight="false" outlineLevel="0" collapsed="false">
      <c r="B48" s="126"/>
      <c r="C48" s="153" t="s">
        <v>172</v>
      </c>
      <c r="D48" s="153" t="s">
        <v>173</v>
      </c>
      <c r="G48" s="135"/>
      <c r="H48" s="153" t="s">
        <v>174</v>
      </c>
    </row>
    <row r="49" customFormat="false" ht="38.25" hidden="false" customHeight="false" outlineLevel="0" collapsed="false">
      <c r="B49" s="126"/>
      <c r="C49" s="153" t="s">
        <v>175</v>
      </c>
      <c r="D49" s="153" t="s">
        <v>176</v>
      </c>
      <c r="G49" s="135"/>
      <c r="H49" s="152" t="s">
        <v>161</v>
      </c>
    </row>
    <row r="50" customFormat="false" ht="38.25" hidden="false" customHeight="false" outlineLevel="0" collapsed="false">
      <c r="B50" s="126"/>
      <c r="C50" s="153" t="s">
        <v>177</v>
      </c>
      <c r="D50" s="153" t="s">
        <v>178</v>
      </c>
      <c r="G50" s="135"/>
      <c r="H50" s="153" t="s">
        <v>179</v>
      </c>
    </row>
    <row r="51" customFormat="false" ht="25.5" hidden="false" customHeight="false" outlineLevel="0" collapsed="false">
      <c r="B51" s="126"/>
      <c r="C51" s="152" t="s">
        <v>180</v>
      </c>
      <c r="D51" s="96"/>
      <c r="G51" s="135"/>
      <c r="H51" s="153" t="s">
        <v>181</v>
      </c>
    </row>
    <row r="52" customFormat="false" ht="38.25" hidden="false" customHeight="false" outlineLevel="0" collapsed="false">
      <c r="B52" s="126"/>
      <c r="C52" s="153" t="s">
        <v>182</v>
      </c>
      <c r="D52" s="96"/>
      <c r="G52" s="135"/>
      <c r="H52" s="153" t="s">
        <v>183</v>
      </c>
    </row>
    <row r="53" customFormat="false" ht="38.25" hidden="false" customHeight="false" outlineLevel="0" collapsed="false">
      <c r="B53" s="126"/>
      <c r="C53" s="153" t="s">
        <v>184</v>
      </c>
      <c r="D53" s="96"/>
      <c r="G53" s="135"/>
      <c r="H53" s="152" t="s">
        <v>185</v>
      </c>
    </row>
    <row r="54" customFormat="false" ht="38.25" hidden="false" customHeight="false" outlineLevel="0" collapsed="false">
      <c r="B54" s="126"/>
      <c r="C54" s="153" t="s">
        <v>186</v>
      </c>
      <c r="G54" s="135" t="s">
        <v>187</v>
      </c>
      <c r="H54" s="153" t="s">
        <v>188</v>
      </c>
    </row>
    <row r="55" customFormat="false" ht="38.25" hidden="false" customHeight="false" outlineLevel="0" collapsed="false">
      <c r="B55" s="126"/>
      <c r="C55" s="150"/>
      <c r="D55" s="154"/>
      <c r="G55" s="135"/>
      <c r="H55" s="153" t="s">
        <v>189</v>
      </c>
    </row>
    <row r="56" customFormat="false" ht="25.5" hidden="false" customHeight="false" outlineLevel="0" collapsed="false">
      <c r="B56" s="126"/>
      <c r="C56" s="150"/>
      <c r="D56" s="154"/>
      <c r="E56" s="150"/>
      <c r="F56" s="151"/>
      <c r="G56" s="135"/>
      <c r="H56" s="153" t="s">
        <v>190</v>
      </c>
    </row>
    <row r="57" customFormat="false" ht="45" hidden="false" customHeight="false" outlineLevel="0" collapsed="false">
      <c r="B57" s="126"/>
      <c r="C57" s="155" t="s">
        <v>191</v>
      </c>
      <c r="D57" s="146" t="s">
        <v>192</v>
      </c>
      <c r="E57" s="150"/>
      <c r="F57" s="151"/>
      <c r="G57" s="155" t="s">
        <v>193</v>
      </c>
      <c r="H57" s="146" t="s">
        <v>194</v>
      </c>
    </row>
    <row r="58" customFormat="false" ht="15" hidden="false" customHeight="false" outlineLevel="0" collapsed="false">
      <c r="B58" s="152" t="s">
        <v>195</v>
      </c>
      <c r="C58" s="152"/>
      <c r="D58" s="152"/>
      <c r="E58" s="152"/>
      <c r="F58" s="152"/>
      <c r="G58" s="132"/>
      <c r="H58" s="156"/>
    </row>
    <row r="59" customFormat="false" ht="15" hidden="false" customHeight="false" outlineLevel="0" collapsed="false">
      <c r="B59" s="157" t="s">
        <v>196</v>
      </c>
      <c r="C59" s="157"/>
      <c r="D59" s="157" t="s">
        <v>180</v>
      </c>
      <c r="E59" s="152" t="s">
        <v>169</v>
      </c>
      <c r="F59" s="152"/>
      <c r="G59" s="132"/>
      <c r="H59" s="156"/>
    </row>
    <row r="60" customFormat="false" ht="35.25" hidden="false" customHeight="true" outlineLevel="0" collapsed="false">
      <c r="B60" s="158" t="s">
        <v>154</v>
      </c>
      <c r="C60" s="158"/>
      <c r="D60" s="158" t="s">
        <v>197</v>
      </c>
      <c r="E60" s="158" t="s">
        <v>197</v>
      </c>
      <c r="F60" s="158"/>
      <c r="H60" s="155" t="s">
        <v>198</v>
      </c>
    </row>
    <row r="61" customFormat="false" ht="45.75" hidden="false" customHeight="true" outlineLevel="0" collapsed="false">
      <c r="B61" s="153" t="s">
        <v>199</v>
      </c>
      <c r="C61" s="153"/>
      <c r="D61" s="153" t="s">
        <v>200</v>
      </c>
      <c r="E61" s="153" t="s">
        <v>201</v>
      </c>
      <c r="F61" s="153"/>
      <c r="G61" s="159" t="s">
        <v>202</v>
      </c>
      <c r="H61" s="140" t="s">
        <v>203</v>
      </c>
    </row>
    <row r="62" customFormat="false" ht="45" hidden="false" customHeight="true" outlineLevel="0" collapsed="false">
      <c r="B62" s="153" t="s">
        <v>204</v>
      </c>
      <c r="C62" s="153"/>
      <c r="D62" s="153" t="s">
        <v>205</v>
      </c>
      <c r="E62" s="153" t="s">
        <v>206</v>
      </c>
      <c r="F62" s="153"/>
      <c r="G62" s="159" t="s">
        <v>207</v>
      </c>
      <c r="H62" s="140" t="s">
        <v>208</v>
      </c>
    </row>
    <row r="63" customFormat="false" ht="35.25" hidden="false" customHeight="true" outlineLevel="0" collapsed="false">
      <c r="B63" s="158" t="s">
        <v>209</v>
      </c>
      <c r="C63" s="158"/>
      <c r="D63" s="158" t="s">
        <v>156</v>
      </c>
      <c r="E63" s="158" t="s">
        <v>156</v>
      </c>
      <c r="F63" s="158"/>
      <c r="G63" s="160" t="s">
        <v>210</v>
      </c>
      <c r="H63" s="161" t="s">
        <v>211</v>
      </c>
    </row>
    <row r="64" customFormat="false" ht="44.25" hidden="false" customHeight="true" outlineLevel="0" collapsed="false">
      <c r="B64" s="153" t="s">
        <v>212</v>
      </c>
      <c r="C64" s="153"/>
      <c r="D64" s="153" t="s">
        <v>213</v>
      </c>
      <c r="E64" s="153" t="s">
        <v>214</v>
      </c>
      <c r="F64" s="153"/>
      <c r="G64" s="160" t="s">
        <v>215</v>
      </c>
      <c r="H64" s="161" t="s">
        <v>216</v>
      </c>
    </row>
    <row r="65" customFormat="false" ht="44.25" hidden="false" customHeight="true" outlineLevel="0" collapsed="false">
      <c r="B65" s="153" t="s">
        <v>217</v>
      </c>
      <c r="C65" s="153"/>
      <c r="D65" s="153" t="s">
        <v>218</v>
      </c>
      <c r="E65" s="153" t="s">
        <v>219</v>
      </c>
      <c r="F65" s="153"/>
      <c r="G65" s="160"/>
      <c r="H65" s="162"/>
    </row>
    <row r="66" customFormat="false" ht="35.25" hidden="false" customHeight="true" outlineLevel="0" collapsed="false">
      <c r="B66" s="157" t="s">
        <v>220</v>
      </c>
      <c r="C66" s="157"/>
      <c r="D66" s="158" t="s">
        <v>157</v>
      </c>
      <c r="E66" s="158" t="s">
        <v>157</v>
      </c>
      <c r="F66" s="158"/>
      <c r="G66" s="160"/>
      <c r="H66" s="162"/>
    </row>
    <row r="67" customFormat="false" ht="47.25" hidden="false" customHeight="true" outlineLevel="0" collapsed="false">
      <c r="B67" s="153" t="s">
        <v>221</v>
      </c>
      <c r="C67" s="153"/>
      <c r="D67" s="153" t="s">
        <v>213</v>
      </c>
      <c r="E67" s="153" t="s">
        <v>222</v>
      </c>
      <c r="F67" s="153"/>
      <c r="G67" s="160"/>
      <c r="H67" s="162"/>
    </row>
    <row r="68" customFormat="false" ht="41.25" hidden="false" customHeight="true" outlineLevel="0" collapsed="false">
      <c r="B68" s="153" t="s">
        <v>223</v>
      </c>
      <c r="C68" s="153"/>
      <c r="D68" s="153" t="s">
        <v>224</v>
      </c>
      <c r="E68" s="153" t="s">
        <v>225</v>
      </c>
      <c r="F68" s="153"/>
      <c r="G68" s="160"/>
      <c r="H68" s="162"/>
    </row>
    <row r="69" customFormat="false" ht="35.25" hidden="false" customHeight="true" outlineLevel="0" collapsed="false">
      <c r="B69" s="158" t="s">
        <v>157</v>
      </c>
      <c r="C69" s="158"/>
      <c r="D69" s="152" t="s">
        <v>170</v>
      </c>
      <c r="E69" s="163"/>
      <c r="H69" s="129"/>
    </row>
    <row r="70" customFormat="false" ht="42.75" hidden="false" customHeight="true" outlineLevel="0" collapsed="false">
      <c r="B70" s="153" t="s">
        <v>226</v>
      </c>
      <c r="C70" s="153"/>
      <c r="D70" s="164" t="s">
        <v>227</v>
      </c>
      <c r="E70" s="165"/>
      <c r="H70" s="129"/>
    </row>
    <row r="71" customFormat="false" ht="47.25" hidden="false" customHeight="true" outlineLevel="0" collapsed="false">
      <c r="B71" s="153" t="s">
        <v>228</v>
      </c>
      <c r="C71" s="153"/>
      <c r="D71" s="164" t="s">
        <v>229</v>
      </c>
      <c r="E71" s="165"/>
      <c r="H71" s="129"/>
    </row>
    <row r="72" customFormat="false" ht="35.25" hidden="false" customHeight="true" outlineLevel="0" collapsed="false">
      <c r="B72" s="157" t="s">
        <v>230</v>
      </c>
      <c r="C72" s="157"/>
      <c r="D72" s="158" t="s">
        <v>157</v>
      </c>
      <c r="E72" s="165"/>
      <c r="G72" s="152" t="s">
        <v>231</v>
      </c>
      <c r="H72" s="152"/>
    </row>
    <row r="73" customFormat="false" ht="55.5" hidden="false" customHeight="true" outlineLevel="0" collapsed="false">
      <c r="B73" s="153" t="s">
        <v>232</v>
      </c>
      <c r="C73" s="153"/>
      <c r="D73" s="164" t="s">
        <v>233</v>
      </c>
      <c r="E73" s="165"/>
      <c r="G73" s="166" t="s">
        <v>234</v>
      </c>
      <c r="H73" s="166"/>
    </row>
    <row r="74" customFormat="false" ht="59.25" hidden="false" customHeight="true" outlineLevel="0" collapsed="false">
      <c r="B74" s="153" t="s">
        <v>235</v>
      </c>
      <c r="C74" s="153"/>
      <c r="D74" s="164" t="s">
        <v>236</v>
      </c>
      <c r="E74" s="165"/>
      <c r="G74" s="166"/>
      <c r="H74" s="166"/>
    </row>
    <row r="75" customFormat="false" ht="61.5" hidden="false" customHeight="true" outlineLevel="0" collapsed="false">
      <c r="B75" s="153" t="s">
        <v>237</v>
      </c>
      <c r="C75" s="153"/>
      <c r="G75" s="160"/>
      <c r="H75" s="162"/>
    </row>
    <row r="76" customFormat="false" ht="15" hidden="false" customHeight="false" outlineLevel="0" collapsed="false">
      <c r="B76" s="122" t="s">
        <v>111</v>
      </c>
      <c r="C76" s="123" t="s">
        <v>112</v>
      </c>
      <c r="D76" s="124"/>
      <c r="E76" s="123"/>
      <c r="F76" s="123"/>
      <c r="G76" s="123"/>
      <c r="H76" s="125"/>
    </row>
    <row r="77" customFormat="false" ht="36" hidden="false" customHeight="false" outlineLevel="0" collapsed="false">
      <c r="B77" s="126"/>
      <c r="C77" s="79" t="s">
        <v>131</v>
      </c>
      <c r="D77" s="73" t="s">
        <v>133</v>
      </c>
      <c r="E77" s="80" t="s">
        <v>134</v>
      </c>
      <c r="F77" s="167" t="n">
        <v>0.3382044</v>
      </c>
      <c r="H77" s="129"/>
    </row>
    <row r="78" customFormat="false" ht="14.25" hidden="false" customHeight="false" outlineLevel="0" collapsed="false">
      <c r="B78" s="126"/>
      <c r="F78" s="168"/>
      <c r="H78" s="129"/>
    </row>
    <row r="79" customFormat="false" ht="15" hidden="false" customHeight="false" outlineLevel="0" collapsed="false">
      <c r="B79" s="126"/>
      <c r="F79" s="129"/>
      <c r="G79" s="149" t="s">
        <v>238</v>
      </c>
      <c r="H79" s="149"/>
    </row>
    <row r="80" customFormat="false" ht="14.25" hidden="false" customHeight="false" outlineLevel="0" collapsed="false">
      <c r="B80" s="126"/>
      <c r="G80" s="169" t="n">
        <v>0.0198</v>
      </c>
      <c r="H80" s="169"/>
    </row>
    <row r="81" customFormat="false" ht="14.25" hidden="false" customHeight="false" outlineLevel="0" collapsed="false">
      <c r="B81" s="126"/>
      <c r="H81" s="129"/>
    </row>
    <row r="82" customFormat="false" ht="15" hidden="false" customHeight="false" outlineLevel="0" collapsed="false">
      <c r="B82" s="126"/>
      <c r="H82" s="149" t="s">
        <v>239</v>
      </c>
    </row>
    <row r="83" customFormat="false" ht="14.25" hidden="false" customHeight="false" outlineLevel="0" collapsed="false">
      <c r="B83" s="126"/>
      <c r="H83" s="170" t="n">
        <f aca="false">'Planilha Med.04'!R49</f>
        <v>185789.39</v>
      </c>
    </row>
    <row r="84" customFormat="false" ht="15" hidden="false" customHeight="false" outlineLevel="0" collapsed="false">
      <c r="B84" s="126"/>
      <c r="H84" s="149" t="s">
        <v>240</v>
      </c>
    </row>
    <row r="85" customFormat="false" ht="14.25" hidden="false" customHeight="false" outlineLevel="0" collapsed="false">
      <c r="B85" s="126"/>
      <c r="H85" s="170" t="n">
        <f aca="false">'Planilha Med.04'!H49</f>
        <v>549340.52</v>
      </c>
    </row>
    <row r="86" customFormat="false" ht="14.25" hidden="false" customHeight="false" outlineLevel="0" collapsed="false">
      <c r="B86" s="126"/>
      <c r="H86" s="129"/>
    </row>
    <row r="87" customFormat="false" ht="15" hidden="false" customHeight="false" outlineLevel="0" collapsed="false">
      <c r="B87" s="126"/>
      <c r="H87" s="149" t="s">
        <v>241</v>
      </c>
    </row>
    <row r="88" customFormat="false" ht="14.25" hidden="false" customHeight="false" outlineLevel="0" collapsed="false">
      <c r="B88" s="171"/>
      <c r="C88" s="172"/>
      <c r="D88" s="173"/>
      <c r="E88" s="172"/>
      <c r="F88" s="172"/>
      <c r="G88" s="172"/>
      <c r="H88" s="174" t="s">
        <v>242</v>
      </c>
      <c r="K88" s="175" t="n">
        <f aca="false">H83/H85</f>
        <v>0.33820441645193</v>
      </c>
    </row>
  </sheetData>
  <mergeCells count="41">
    <mergeCell ref="D2:E2"/>
    <mergeCell ref="G2:H2"/>
    <mergeCell ref="D3:E3"/>
    <mergeCell ref="D4:E4"/>
    <mergeCell ref="F4:H4"/>
    <mergeCell ref="D5:E5"/>
    <mergeCell ref="F5:H5"/>
    <mergeCell ref="D6:G6"/>
    <mergeCell ref="C42:D42"/>
    <mergeCell ref="B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B67:C67"/>
    <mergeCell ref="E67:F67"/>
    <mergeCell ref="B68:C68"/>
    <mergeCell ref="E68:F68"/>
    <mergeCell ref="B69:C69"/>
    <mergeCell ref="B70:C70"/>
    <mergeCell ref="B71:C71"/>
    <mergeCell ref="B72:C72"/>
    <mergeCell ref="G72:H72"/>
    <mergeCell ref="B73:C73"/>
    <mergeCell ref="G73:H74"/>
    <mergeCell ref="B74:C74"/>
    <mergeCell ref="B75:C75"/>
    <mergeCell ref="G79:H79"/>
    <mergeCell ref="G80:H80"/>
  </mergeCells>
  <printOptions headings="false" gridLines="false" gridLinesSet="true" horizontalCentered="true" verticalCentered="true"/>
  <pageMargins left="0.196527777777778" right="0.196527777777778" top="0.7875" bottom="0.7875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&amp;CPágina &amp;P de &amp;N</oddFooter>
  </headerFooter>
  <rowBreaks count="2" manualBreakCount="2">
    <brk id="33" man="true" max="16383" min="0"/>
    <brk id="57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X26"/>
  <sheetViews>
    <sheetView showFormulas="false" showGridLines="true" showRowColHeaders="true" showZeros="true" rightToLeft="false" tabSelected="false" showOutlineSymbols="true" defaultGridColor="true" view="pageBreakPreview" topLeftCell="A1" colorId="64" zoomScale="120" zoomScaleNormal="100" zoomScalePageLayoutView="120" workbookViewId="0">
      <selection pane="topLeft" activeCell="B23" activeCellId="0" sqref="B23"/>
    </sheetView>
  </sheetViews>
  <sheetFormatPr defaultColWidth="6.578125" defaultRowHeight="12.75" zeroHeight="false" outlineLevelRow="0" outlineLevelCol="0"/>
  <cols>
    <col collapsed="false" customWidth="false" hidden="false" outlineLevel="0" max="1" min="1" style="176" width="6.57"/>
    <col collapsed="false" customWidth="true" hidden="false" outlineLevel="0" max="2" min="2" style="177" width="27.99"/>
    <col collapsed="false" customWidth="true" hidden="false" outlineLevel="0" max="3" min="3" style="177" width="12.42"/>
    <col collapsed="false" customWidth="true" hidden="false" outlineLevel="0" max="4" min="4" style="178" width="12.14"/>
    <col collapsed="false" customWidth="true" hidden="false" outlineLevel="0" max="5" min="5" style="177" width="14.43"/>
    <col collapsed="false" customWidth="true" hidden="false" outlineLevel="0" max="7" min="6" style="179" width="14.43"/>
    <col collapsed="false" customWidth="true" hidden="false" outlineLevel="0" max="8" min="8" style="179" width="11.29"/>
    <col collapsed="false" customWidth="true" hidden="false" outlineLevel="0" max="9" min="9" style="179" width="12.29"/>
    <col collapsed="false" customWidth="true" hidden="false" outlineLevel="0" max="10" min="10" style="177" width="17"/>
    <col collapsed="false" customWidth="true" hidden="true" outlineLevel="0" max="11" min="11" style="177" width="63.71"/>
    <col collapsed="false" customWidth="true" hidden="true" outlineLevel="0" max="12" min="12" style="177" width="49.57"/>
    <col collapsed="false" customWidth="false" hidden="false" outlineLevel="0" max="49" min="13" style="177" width="6.57"/>
    <col collapsed="false" customWidth="true" hidden="false" outlineLevel="0" max="50" min="50" style="179" width="16.29"/>
    <col collapsed="false" customWidth="true" hidden="false" outlineLevel="0" max="51" min="51" style="177" width="14.28"/>
    <col collapsed="false" customWidth="false" hidden="false" outlineLevel="0" max="192" min="52" style="177" width="6.57"/>
    <col collapsed="false" customWidth="false" hidden="false" outlineLevel="0" max="257" min="193" style="176" width="6.57"/>
    <col collapsed="false" customWidth="true" hidden="false" outlineLevel="0" max="258" min="258" style="176" width="27.99"/>
    <col collapsed="false" customWidth="true" hidden="false" outlineLevel="0" max="259" min="259" style="176" width="12.42"/>
    <col collapsed="false" customWidth="true" hidden="false" outlineLevel="0" max="260" min="260" style="176" width="12.14"/>
    <col collapsed="false" customWidth="true" hidden="false" outlineLevel="0" max="264" min="261" style="176" width="10.42"/>
    <col collapsed="false" customWidth="true" hidden="false" outlineLevel="0" max="265" min="265" style="176" width="12.29"/>
    <col collapsed="false" customWidth="true" hidden="false" outlineLevel="0" max="266" min="266" style="176" width="17"/>
    <col collapsed="false" customWidth="true" hidden="true" outlineLevel="0" max="305" min="267" style="176" width="11.57"/>
    <col collapsed="false" customWidth="true" hidden="false" outlineLevel="0" max="306" min="306" style="176" width="16.14"/>
    <col collapsed="false" customWidth="true" hidden="false" outlineLevel="0" max="307" min="307" style="176" width="14.28"/>
    <col collapsed="false" customWidth="false" hidden="false" outlineLevel="0" max="513" min="308" style="176" width="6.57"/>
    <col collapsed="false" customWidth="true" hidden="false" outlineLevel="0" max="514" min="514" style="176" width="27.99"/>
    <col collapsed="false" customWidth="true" hidden="false" outlineLevel="0" max="515" min="515" style="176" width="12.42"/>
    <col collapsed="false" customWidth="true" hidden="false" outlineLevel="0" max="516" min="516" style="176" width="12.14"/>
    <col collapsed="false" customWidth="true" hidden="false" outlineLevel="0" max="520" min="517" style="176" width="10.42"/>
    <col collapsed="false" customWidth="true" hidden="false" outlineLevel="0" max="521" min="521" style="176" width="12.29"/>
    <col collapsed="false" customWidth="true" hidden="false" outlineLevel="0" max="522" min="522" style="176" width="17"/>
    <col collapsed="false" customWidth="true" hidden="true" outlineLevel="0" max="561" min="523" style="176" width="11.57"/>
    <col collapsed="false" customWidth="true" hidden="false" outlineLevel="0" max="562" min="562" style="176" width="16.14"/>
    <col collapsed="false" customWidth="true" hidden="false" outlineLevel="0" max="563" min="563" style="176" width="14.28"/>
    <col collapsed="false" customWidth="false" hidden="false" outlineLevel="0" max="769" min="564" style="176" width="6.57"/>
    <col collapsed="false" customWidth="true" hidden="false" outlineLevel="0" max="770" min="770" style="176" width="27.99"/>
    <col collapsed="false" customWidth="true" hidden="false" outlineLevel="0" max="771" min="771" style="176" width="12.42"/>
    <col collapsed="false" customWidth="true" hidden="false" outlineLevel="0" max="772" min="772" style="176" width="12.14"/>
    <col collapsed="false" customWidth="true" hidden="false" outlineLevel="0" max="776" min="773" style="176" width="10.42"/>
    <col collapsed="false" customWidth="true" hidden="false" outlineLevel="0" max="777" min="777" style="176" width="12.29"/>
    <col collapsed="false" customWidth="true" hidden="false" outlineLevel="0" max="778" min="778" style="176" width="17"/>
    <col collapsed="false" customWidth="true" hidden="true" outlineLevel="0" max="817" min="779" style="176" width="11.57"/>
    <col collapsed="false" customWidth="true" hidden="false" outlineLevel="0" max="818" min="818" style="176" width="16.14"/>
    <col collapsed="false" customWidth="true" hidden="false" outlineLevel="0" max="819" min="819" style="176" width="14.28"/>
    <col collapsed="false" customWidth="false" hidden="false" outlineLevel="0" max="1024" min="820" style="176" width="6.57"/>
  </cols>
  <sheetData>
    <row r="1" s="182" customFormat="true" ht="11.25" hidden="false" customHeight="false" outlineLevel="0" collapsed="false">
      <c r="A1" s="180"/>
      <c r="B1" s="180"/>
      <c r="C1" s="180"/>
      <c r="D1" s="180"/>
      <c r="E1" s="180"/>
      <c r="F1" s="180"/>
      <c r="G1" s="180"/>
      <c r="H1" s="180"/>
      <c r="I1" s="180"/>
      <c r="J1" s="181"/>
      <c r="L1" s="183"/>
    </row>
    <row r="2" s="182" customFormat="true" ht="11.25" hidden="false" customHeight="false" outlineLevel="0" collapsed="false">
      <c r="A2" s="180"/>
      <c r="B2" s="180"/>
      <c r="C2" s="180"/>
      <c r="D2" s="180"/>
      <c r="E2" s="180"/>
      <c r="F2" s="180"/>
      <c r="G2" s="180"/>
      <c r="H2" s="180"/>
      <c r="I2" s="180"/>
      <c r="J2" s="181"/>
      <c r="L2" s="183"/>
    </row>
    <row r="3" s="185" customFormat="true" ht="12.75" hidden="false" customHeight="true" outlineLevel="0" collapsed="false">
      <c r="A3" s="184" t="s">
        <v>243</v>
      </c>
      <c r="B3" s="184"/>
      <c r="C3" s="184"/>
      <c r="D3" s="184"/>
      <c r="E3" s="184"/>
      <c r="F3" s="184"/>
      <c r="G3" s="184"/>
      <c r="H3" s="184"/>
      <c r="I3" s="184"/>
      <c r="J3" s="181"/>
      <c r="L3" s="186"/>
    </row>
    <row r="4" s="185" customFormat="true" ht="12.75" hidden="false" customHeight="true" outlineLevel="0" collapsed="false">
      <c r="A4" s="184" t="s">
        <v>143</v>
      </c>
      <c r="B4" s="184"/>
      <c r="C4" s="184"/>
      <c r="D4" s="184"/>
      <c r="E4" s="184"/>
      <c r="F4" s="184"/>
      <c r="G4" s="184"/>
      <c r="H4" s="184"/>
      <c r="I4" s="184"/>
      <c r="J4" s="181"/>
      <c r="L4" s="186"/>
    </row>
    <row r="5" s="188" customFormat="true" ht="12" hidden="false" customHeight="false" outlineLevel="0" collapsed="false">
      <c r="A5" s="187"/>
      <c r="B5" s="187"/>
      <c r="C5" s="187"/>
      <c r="D5" s="187"/>
      <c r="E5" s="187"/>
      <c r="F5" s="187"/>
      <c r="G5" s="187"/>
      <c r="H5" s="187"/>
      <c r="I5" s="187"/>
      <c r="J5" s="181"/>
      <c r="L5" s="189"/>
    </row>
    <row r="6" s="185" customFormat="true" ht="12" hidden="false" customHeight="true" outlineLevel="0" collapsed="false">
      <c r="A6" s="190" t="s">
        <v>244</v>
      </c>
      <c r="B6" s="190" t="s">
        <v>245</v>
      </c>
      <c r="C6" s="190" t="s">
        <v>246</v>
      </c>
      <c r="D6" s="191" t="s">
        <v>247</v>
      </c>
      <c r="E6" s="191"/>
      <c r="F6" s="191"/>
      <c r="G6" s="191"/>
      <c r="H6" s="191"/>
      <c r="I6" s="191"/>
      <c r="J6" s="181"/>
      <c r="L6" s="186"/>
      <c r="AX6" s="192"/>
    </row>
    <row r="7" s="185" customFormat="true" ht="12" hidden="false" customHeight="true" outlineLevel="0" collapsed="false">
      <c r="A7" s="190"/>
      <c r="B7" s="190"/>
      <c r="C7" s="190"/>
      <c r="D7" s="193" t="s">
        <v>248</v>
      </c>
      <c r="E7" s="193" t="s">
        <v>249</v>
      </c>
      <c r="F7" s="193" t="s">
        <v>250</v>
      </c>
      <c r="G7" s="193" t="s">
        <v>251</v>
      </c>
      <c r="H7" s="193"/>
      <c r="I7" s="194"/>
      <c r="J7" s="181"/>
      <c r="L7" s="186"/>
      <c r="AX7" s="195"/>
    </row>
    <row r="8" s="185" customFormat="true" ht="11.25" hidden="false" customHeight="false" outlineLevel="0" collapsed="false">
      <c r="A8" s="190"/>
      <c r="B8" s="190"/>
      <c r="C8" s="190"/>
      <c r="D8" s="196" t="s">
        <v>252</v>
      </c>
      <c r="E8" s="196" t="s">
        <v>253</v>
      </c>
      <c r="F8" s="196" t="s">
        <v>254</v>
      </c>
      <c r="G8" s="197" t="s">
        <v>255</v>
      </c>
      <c r="H8" s="198" t="s">
        <v>256</v>
      </c>
      <c r="I8" s="199" t="s">
        <v>257</v>
      </c>
      <c r="J8" s="181"/>
      <c r="L8" s="186"/>
      <c r="AX8" s="195"/>
    </row>
    <row r="9" s="185" customFormat="true" ht="11.25" hidden="false" customHeight="true" outlineLevel="0" collapsed="false">
      <c r="A9" s="200" t="s">
        <v>258</v>
      </c>
      <c r="B9" s="201" t="s">
        <v>259</v>
      </c>
      <c r="C9" s="202" t="n">
        <f aca="false">ROUND([1]ORÇAMENTO!H13*1.2829,2)</f>
        <v>69226.16</v>
      </c>
      <c r="D9" s="203" t="n">
        <v>5627.02</v>
      </c>
      <c r="E9" s="203" t="n">
        <f aca="false">[2]Plan1!N17+([2]Plan1!N17*0.2829)</f>
        <v>29771.785627</v>
      </c>
      <c r="F9" s="204"/>
      <c r="G9" s="205"/>
      <c r="H9" s="205"/>
      <c r="I9" s="206" t="n">
        <v>33827.35</v>
      </c>
      <c r="J9" s="207" t="n">
        <f aca="false">(I9+H9+G9+F9+E9+D9)-C9</f>
        <v>-0.00437300000339747</v>
      </c>
      <c r="L9" s="186"/>
      <c r="AX9" s="208"/>
    </row>
    <row r="10" s="185" customFormat="true" ht="11.25" hidden="false" customHeight="false" outlineLevel="0" collapsed="false">
      <c r="A10" s="200"/>
      <c r="B10" s="201"/>
      <c r="C10" s="209" t="n">
        <f aca="false">SUM(D10:I10)</f>
        <v>0.999999936830239</v>
      </c>
      <c r="D10" s="210" t="n">
        <f aca="false">D9/$C$9</f>
        <v>0.0812845895251159</v>
      </c>
      <c r="E10" s="210" t="n">
        <f aca="false">E9/$C$9</f>
        <v>0.430065536308817</v>
      </c>
      <c r="F10" s="210"/>
      <c r="G10" s="210"/>
      <c r="H10" s="210"/>
      <c r="I10" s="211" t="n">
        <f aca="false">I9/C9</f>
        <v>0.488649810996305</v>
      </c>
      <c r="J10" s="207" t="n">
        <f aca="false">(I10+H10+G10+F10+E10+D10)-C10</f>
        <v>0</v>
      </c>
      <c r="L10" s="186"/>
      <c r="AX10" s="208"/>
    </row>
    <row r="11" s="185" customFormat="true" ht="11.25" hidden="false" customHeight="true" outlineLevel="0" collapsed="false">
      <c r="A11" s="200" t="s">
        <v>47</v>
      </c>
      <c r="B11" s="201" t="s">
        <v>48</v>
      </c>
      <c r="C11" s="202" t="n">
        <f aca="false">ROUND([1]ORÇAMENTO!H19*1.2829,2)</f>
        <v>18323.28</v>
      </c>
      <c r="D11" s="204"/>
      <c r="E11" s="203" t="n">
        <f aca="false">[2]Plan1!N22+([2]Plan1!N22*0.2829)</f>
        <v>1829.890073</v>
      </c>
      <c r="F11" s="203" t="n">
        <f aca="false">'Planilha Med.04'!P22*1.2829</f>
        <v>1829.890073</v>
      </c>
      <c r="G11" s="203" t="n">
        <f aca="false">'Planilha Med.04'!R22*1.2829</f>
        <v>6107.75861</v>
      </c>
      <c r="H11" s="203"/>
      <c r="I11" s="212" t="n">
        <v>8555.74</v>
      </c>
      <c r="J11" s="207" t="n">
        <f aca="false">(I11+H11+G11+F11+E11+D11)-C11</f>
        <v>-0.00124400000277092</v>
      </c>
      <c r="L11" s="186"/>
      <c r="AX11" s="208"/>
    </row>
    <row r="12" s="185" customFormat="true" ht="11.25" hidden="false" customHeight="false" outlineLevel="0" collapsed="false">
      <c r="A12" s="200"/>
      <c r="B12" s="201"/>
      <c r="C12" s="209" t="n">
        <f aca="false">SUM(D12:I12)</f>
        <v>0.999999932108225</v>
      </c>
      <c r="D12" s="210"/>
      <c r="E12" s="210" t="n">
        <f aca="false">E11/$C$11</f>
        <v>0.0998669492034177</v>
      </c>
      <c r="F12" s="210" t="n">
        <f aca="false">F11/C11</f>
        <v>0.0998669492034177</v>
      </c>
      <c r="G12" s="210" t="n">
        <f aca="false">G11/$C$11</f>
        <v>0.333333257473553</v>
      </c>
      <c r="H12" s="210"/>
      <c r="I12" s="213" t="n">
        <f aca="false">I11/$C$11</f>
        <v>0.466932776227837</v>
      </c>
      <c r="J12" s="207" t="n">
        <f aca="false">(I12+H12+G12+F12+E12+D12)-C12</f>
        <v>0</v>
      </c>
      <c r="L12" s="186"/>
      <c r="AX12" s="208"/>
    </row>
    <row r="13" s="185" customFormat="true" ht="11.25" hidden="false" customHeight="true" outlineLevel="0" collapsed="false">
      <c r="A13" s="200" t="s">
        <v>59</v>
      </c>
      <c r="B13" s="201" t="s">
        <v>60</v>
      </c>
      <c r="C13" s="202" t="n">
        <f aca="false">ROUND([1]ORÇAMENTO!H27*1.2829,2)</f>
        <v>54251.28</v>
      </c>
      <c r="D13" s="204"/>
      <c r="E13" s="203" t="n">
        <f aca="false">[2]Plan1!N29+([2]Plan1!N29*0.2829)</f>
        <v>865.110786</v>
      </c>
      <c r="F13" s="204"/>
      <c r="G13" s="203" t="n">
        <f aca="false">'Planilha Med.04'!R29*1.2829</f>
        <v>53386.164414</v>
      </c>
      <c r="H13" s="203"/>
      <c r="I13" s="212"/>
      <c r="J13" s="207" t="n">
        <f aca="false">(I13+H13+G13+F13+E13+D13)-C13</f>
        <v>-0.00480000000243308</v>
      </c>
      <c r="L13" s="186"/>
      <c r="AX13" s="208"/>
    </row>
    <row r="14" s="185" customFormat="true" ht="11.25" hidden="false" customHeight="false" outlineLevel="0" collapsed="false">
      <c r="A14" s="200"/>
      <c r="B14" s="201"/>
      <c r="C14" s="209" t="n">
        <f aca="false">SUM(D14:I14)</f>
        <v>0.999999911522825</v>
      </c>
      <c r="D14" s="210"/>
      <c r="E14" s="210" t="n">
        <f aca="false">E13/$C$13</f>
        <v>0.0159463663530151</v>
      </c>
      <c r="F14" s="210"/>
      <c r="G14" s="210" t="n">
        <f aca="false">G13/$C$13</f>
        <v>0.98405354516981</v>
      </c>
      <c r="H14" s="210"/>
      <c r="I14" s="213" t="n">
        <f aca="false">I13/$C$13</f>
        <v>0</v>
      </c>
      <c r="J14" s="207" t="n">
        <f aca="false">(I14+H14+G14+F14+E14+D14)-C14</f>
        <v>0</v>
      </c>
      <c r="L14" s="186"/>
      <c r="AX14" s="214"/>
    </row>
    <row r="15" s="185" customFormat="true" ht="11.25" hidden="false" customHeight="true" outlineLevel="0" collapsed="false">
      <c r="A15" s="200" t="s">
        <v>78</v>
      </c>
      <c r="B15" s="201" t="s">
        <v>260</v>
      </c>
      <c r="C15" s="202" t="n">
        <f aca="false">ROUND([1]ORÇAMENTO!H39*1.2829,2)</f>
        <v>513295.46</v>
      </c>
      <c r="D15" s="204"/>
      <c r="E15" s="203" t="n">
        <f aca="false">[2]Plan1!N40+([2]Plan1!N40*0.2829)</f>
        <v>697.628191</v>
      </c>
      <c r="F15" s="203" t="n">
        <f aca="false">'Planilha Med.04'!P40*1.2829</f>
        <v>10930.94945</v>
      </c>
      <c r="G15" s="203" t="n">
        <f aca="false">'Planilha Med.04'!R40*1.2829</f>
        <v>178855.285407</v>
      </c>
      <c r="H15" s="203"/>
      <c r="I15" s="212" t="n">
        <v>322811.6</v>
      </c>
      <c r="J15" s="207" t="n">
        <f aca="false">(I15+H15+G15+F15+E15+D15)-C15</f>
        <v>0.00304799998411909</v>
      </c>
      <c r="L15" s="186"/>
      <c r="AX15" s="215"/>
    </row>
    <row r="16" s="185" customFormat="true" ht="11.25" hidden="false" customHeight="false" outlineLevel="0" collapsed="false">
      <c r="A16" s="200"/>
      <c r="B16" s="201"/>
      <c r="C16" s="209" t="n">
        <f aca="false">SUM(D16:I16)</f>
        <v>1.0000000059381</v>
      </c>
      <c r="D16" s="210"/>
      <c r="E16" s="210" t="n">
        <f aca="false">E15/$C$15</f>
        <v>0.00135911623102998</v>
      </c>
      <c r="F16" s="210" t="n">
        <f aca="false">F15/$C$15</f>
        <v>0.0212956285450099</v>
      </c>
      <c r="G16" s="210" t="n">
        <f aca="false">G15/$C$15</f>
        <v>0.348445095164099</v>
      </c>
      <c r="H16" s="210"/>
      <c r="I16" s="213" t="n">
        <f aca="false">I15/$C$15</f>
        <v>0.628900165997961</v>
      </c>
      <c r="J16" s="207" t="n">
        <f aca="false">(I16+H16+G16+F16+E16+D16)-C16</f>
        <v>0</v>
      </c>
      <c r="L16" s="186"/>
      <c r="AX16" s="208"/>
    </row>
    <row r="17" s="185" customFormat="true" ht="11.25" hidden="false" customHeight="true" outlineLevel="0" collapsed="false">
      <c r="A17" s="200" t="s">
        <v>111</v>
      </c>
      <c r="B17" s="201" t="s">
        <v>112</v>
      </c>
      <c r="C17" s="202" t="n">
        <f aca="false">ROUND([1]ORÇAMENTO!H47*1.2829,2)-0.01</f>
        <v>49652.77</v>
      </c>
      <c r="D17" s="204"/>
      <c r="E17" s="204"/>
      <c r="F17" s="203" t="n">
        <f aca="false">'Planilha Med.04'!P47*1.2829</f>
        <v>0</v>
      </c>
      <c r="G17" s="204"/>
      <c r="H17" s="204"/>
      <c r="I17" s="212" t="n">
        <f aca="false">C17-(F17+G17+H17)</f>
        <v>49652.77</v>
      </c>
      <c r="J17" s="216" t="n">
        <f aca="false">(I17+H17+G17+F17+E17+D17)-C17</f>
        <v>0</v>
      </c>
      <c r="L17" s="186"/>
      <c r="AX17" s="208"/>
    </row>
    <row r="18" s="185" customFormat="true" ht="11.25" hidden="false" customHeight="false" outlineLevel="0" collapsed="false">
      <c r="A18" s="200"/>
      <c r="B18" s="201"/>
      <c r="C18" s="209" t="n">
        <f aca="false">SUM(D18:I18)</f>
        <v>1</v>
      </c>
      <c r="D18" s="210"/>
      <c r="E18" s="210" t="n">
        <f aca="false">E17/$C$17</f>
        <v>0</v>
      </c>
      <c r="F18" s="210" t="n">
        <f aca="false">F17/$C$17</f>
        <v>0</v>
      </c>
      <c r="G18" s="210"/>
      <c r="H18" s="210"/>
      <c r="I18" s="213" t="n">
        <f aca="false">I17/$C$17</f>
        <v>1</v>
      </c>
      <c r="J18" s="207" t="n">
        <f aca="false">(I18+H18+G18+F18+E18+D18)-C18</f>
        <v>0</v>
      </c>
      <c r="L18" s="186"/>
      <c r="AX18" s="208"/>
    </row>
    <row r="19" s="185" customFormat="true" ht="11.25" hidden="false" customHeight="true" outlineLevel="0" collapsed="false">
      <c r="A19" s="200"/>
      <c r="B19" s="201" t="s">
        <v>133</v>
      </c>
      <c r="C19" s="202" t="n">
        <f aca="false">[1]ORÇAMENTO!G51</f>
        <v>10876.94</v>
      </c>
      <c r="D19" s="203" t="n">
        <v>111.63</v>
      </c>
      <c r="E19" s="203" t="n">
        <f aca="false">[2]Plan1!N51+([2]Plan1!N51*0.2829)</f>
        <v>656.652365</v>
      </c>
      <c r="F19" s="203" t="n">
        <f aca="false">'Planilha Med.04'!P51*1.2829</f>
        <v>216.438059</v>
      </c>
      <c r="G19" s="203" t="n">
        <f aca="false">'Planilha Med.04'!R51*1.2829</f>
        <v>4719.314427</v>
      </c>
      <c r="H19" s="203"/>
      <c r="I19" s="212" t="n">
        <v>5172.91</v>
      </c>
      <c r="J19" s="207" t="n">
        <f aca="false">(I19+H19+G19+F19+E19+D19)-C19</f>
        <v>0.00485099999968952</v>
      </c>
      <c r="L19" s="186"/>
      <c r="AX19" s="214"/>
    </row>
    <row r="20" s="185" customFormat="true" ht="11.25" hidden="false" customHeight="false" outlineLevel="0" collapsed="false">
      <c r="A20" s="200"/>
      <c r="B20" s="201"/>
      <c r="C20" s="209" t="n">
        <f aca="false">SUM(D20:I20)</f>
        <v>1.00000044598941</v>
      </c>
      <c r="D20" s="210" t="n">
        <f aca="false">D19/$C$19</f>
        <v>0.0102629967619569</v>
      </c>
      <c r="E20" s="210" t="n">
        <f aca="false">E19/$C$19</f>
        <v>0.0603710570252295</v>
      </c>
      <c r="F20" s="210" t="n">
        <f aca="false">F19/$C$19</f>
        <v>0.0198988004898436</v>
      </c>
      <c r="G20" s="210" t="n">
        <f aca="false">G19/$C$19</f>
        <v>0.433882546653746</v>
      </c>
      <c r="H20" s="210"/>
      <c r="I20" s="213" t="n">
        <f aca="false">I19/$C$19</f>
        <v>0.475585045058629</v>
      </c>
      <c r="J20" s="207" t="n">
        <f aca="false">(I20+H20+G20+F20+E20+D20)-C20</f>
        <v>0</v>
      </c>
      <c r="L20" s="186"/>
      <c r="AX20" s="215"/>
    </row>
    <row r="21" s="185" customFormat="true" ht="11.25" hidden="false" customHeight="false" outlineLevel="0" collapsed="false">
      <c r="A21" s="217"/>
      <c r="B21" s="200" t="s">
        <v>261</v>
      </c>
      <c r="C21" s="218" t="n">
        <f aca="false">SUM(C19,C17,C15,C13,C11,C9)</f>
        <v>715625.89</v>
      </c>
      <c r="D21" s="219" t="n">
        <f aca="false">SUM(D19,D17,D15,D13,D11,D9)</f>
        <v>5738.65</v>
      </c>
      <c r="E21" s="219" t="n">
        <f aca="false">SUM(E19,E17,E15,E13,E11,E9)+0.01</f>
        <v>33821.077042</v>
      </c>
      <c r="F21" s="219" t="n">
        <f aca="false">SUM(F19,F17,F15,F13,F11,F9)</f>
        <v>12977.277582</v>
      </c>
      <c r="G21" s="220" t="n">
        <f aca="false">SUM(G19,G17,G15,G13,G11,G9)</f>
        <v>243068.522858</v>
      </c>
      <c r="H21" s="220"/>
      <c r="I21" s="221" t="n">
        <f aca="false">SUM(I19,I17,I15,I13,I11,I9)-0.01</f>
        <v>420020.36</v>
      </c>
      <c r="J21" s="207" t="n">
        <f aca="false">(I21+H21+G21+F21+E21+D21)-C21</f>
        <v>-0.00251800008118153</v>
      </c>
      <c r="L21" s="186"/>
      <c r="AX21" s="222"/>
    </row>
    <row r="22" s="185" customFormat="true" ht="12" hidden="false" customHeight="false" outlineLevel="0" collapsed="false">
      <c r="A22" s="217"/>
      <c r="B22" s="223" t="s">
        <v>262</v>
      </c>
      <c r="C22" s="218"/>
      <c r="D22" s="224" t="n">
        <f aca="false">D21</f>
        <v>5738.65</v>
      </c>
      <c r="E22" s="224" t="n">
        <f aca="false">E21+D22</f>
        <v>39559.727042</v>
      </c>
      <c r="F22" s="224" t="n">
        <f aca="false">F21+E22-0.01</f>
        <v>52536.994624</v>
      </c>
      <c r="G22" s="225" t="n">
        <f aca="false">G21+F22-0.01</f>
        <v>295605.507482</v>
      </c>
      <c r="H22" s="225"/>
      <c r="I22" s="221" t="n">
        <f aca="false">G22+I21+0.02</f>
        <v>715625.887482</v>
      </c>
      <c r="J22" s="226"/>
      <c r="L22" s="186"/>
      <c r="AX22" s="222" t="n">
        <f aca="false">I22=C21</f>
        <v>0</v>
      </c>
    </row>
    <row r="23" s="227" customFormat="true" ht="18.75" hidden="false" customHeight="true" outlineLevel="0" collapsed="false">
      <c r="B23" s="228" t="s">
        <v>263</v>
      </c>
      <c r="C23" s="228"/>
      <c r="D23" s="228"/>
      <c r="E23" s="228"/>
      <c r="F23" s="228"/>
      <c r="G23" s="228"/>
      <c r="H23" s="228"/>
      <c r="I23" s="228"/>
      <c r="AX23" s="227" t="n">
        <f aca="false">I22=[1]ORÇAMENTO!H54</f>
        <v>0</v>
      </c>
    </row>
    <row r="24" s="227" customFormat="true" ht="18.75" hidden="false" customHeight="false" outlineLevel="0" collapsed="false">
      <c r="B24" s="229"/>
      <c r="C24" s="229"/>
      <c r="D24" s="230"/>
      <c r="E24" s="231"/>
      <c r="F24" s="231"/>
      <c r="G24" s="231"/>
      <c r="H24" s="231"/>
      <c r="AX24" s="231"/>
    </row>
    <row r="25" s="227" customFormat="true" ht="18.75" hidden="false" customHeight="false" outlineLevel="0" collapsed="false">
      <c r="B25" s="229"/>
      <c r="C25" s="229"/>
      <c r="D25" s="230"/>
      <c r="E25" s="231"/>
      <c r="F25" s="231"/>
      <c r="G25" s="231"/>
      <c r="H25" s="231"/>
      <c r="AX25" s="231"/>
    </row>
    <row r="26" s="232" customFormat="true" ht="15.75" hidden="false" customHeight="true" outlineLevel="0" collapsed="false">
      <c r="B26" s="233" t="s">
        <v>264</v>
      </c>
      <c r="C26" s="233"/>
      <c r="D26" s="233"/>
      <c r="E26" s="234" t="s">
        <v>265</v>
      </c>
      <c r="F26" s="234"/>
      <c r="G26" s="234"/>
      <c r="H26" s="234"/>
      <c r="I26" s="234"/>
    </row>
  </sheetData>
  <mergeCells count="40">
    <mergeCell ref="A1:I2"/>
    <mergeCell ref="A3:I3"/>
    <mergeCell ref="A4:I4"/>
    <mergeCell ref="A5:I5"/>
    <mergeCell ref="A6:A8"/>
    <mergeCell ref="B6:B8"/>
    <mergeCell ref="C6:C8"/>
    <mergeCell ref="D6:I6"/>
    <mergeCell ref="G7:H7"/>
    <mergeCell ref="A9:A10"/>
    <mergeCell ref="B9:B10"/>
    <mergeCell ref="G9:H9"/>
    <mergeCell ref="G10:H10"/>
    <mergeCell ref="A11:A12"/>
    <mergeCell ref="B11:B12"/>
    <mergeCell ref="G11:H11"/>
    <mergeCell ref="G12:H12"/>
    <mergeCell ref="A13:A14"/>
    <mergeCell ref="B13:B14"/>
    <mergeCell ref="G13:H13"/>
    <mergeCell ref="G14:H14"/>
    <mergeCell ref="A15:A16"/>
    <mergeCell ref="B15:B16"/>
    <mergeCell ref="G15:H15"/>
    <mergeCell ref="G16:H16"/>
    <mergeCell ref="A17:A18"/>
    <mergeCell ref="B17:B18"/>
    <mergeCell ref="G17:H17"/>
    <mergeCell ref="G18:H18"/>
    <mergeCell ref="A19:A20"/>
    <mergeCell ref="B19:B20"/>
    <mergeCell ref="G19:H19"/>
    <mergeCell ref="G20:H20"/>
    <mergeCell ref="A21:A22"/>
    <mergeCell ref="C21:C22"/>
    <mergeCell ref="G21:H21"/>
    <mergeCell ref="G22:H22"/>
    <mergeCell ref="B23:I23"/>
    <mergeCell ref="B26:D26"/>
    <mergeCell ref="E26:I26"/>
  </mergeCells>
  <printOptions headings="false" gridLines="false" gridLinesSet="true" horizontalCentered="true" verticalCentered="true"/>
  <pageMargins left="0" right="0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2012-07-23T19:03:05Z</dcterms:created>
  <dc:creator>Sergio</dc:creator>
  <dc:description/>
  <dc:language>pt-BR</dc:language>
  <cp:lastModifiedBy>Viva-Projetos</cp:lastModifiedBy>
  <cp:lastPrinted>2023-07-11T12:41:43Z</cp:lastPrinted>
  <dcterms:modified xsi:type="dcterms:W3CDTF">2023-07-11T14:57:07Z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