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amys\Documents\CASAMAX\OBRA SETOR SETE\MEDIÇÕES\7ª MEDIÇÃO - REV.00\PLANILHA DE MEDIÇÃO\"/>
    </mc:Choice>
  </mc:AlternateContent>
  <xr:revisionPtr revIDLastSave="0" documentId="13_ncr:1_{8ACF77A6-AF5C-48C1-B86E-07A5AE9BF18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APA" sheetId="3" r:id="rId1"/>
    <sheet name="7ª MEDIÇÃO " sheetId="2" r:id="rId2"/>
  </sheets>
  <externalReferences>
    <externalReference r:id="rId3"/>
  </externalReferences>
  <definedNames>
    <definedName name="_xlnm._FilterDatabase" localSheetId="1" hidden="1">'7ª MEDIÇÃO '!$A$10:$AF$111</definedName>
    <definedName name="_xlnm.Print_Area" localSheetId="1">'7ª MEDIÇÃO '!$B$1:$AB$112</definedName>
    <definedName name="_xlnm.Print_Area" localSheetId="0">CAPA!$A$1:$K$48</definedName>
    <definedName name="DRENAGEM">#REF!</definedName>
    <definedName name="Excel_BuiltIn_Criteria">'7ª MEDIÇÃO '!$H:$H</definedName>
    <definedName name="PREGAO.MDR">'[1]PREGÃO MAIO'!$A$80:$F$96</definedName>
    <definedName name="TRECHO.1">#REF!</definedName>
    <definedName name="TRECHO.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6" i="2" l="1"/>
  <c r="Y15" i="2"/>
  <c r="Y32" i="2"/>
  <c r="Y39" i="2"/>
  <c r="Y47" i="2"/>
  <c r="Y58" i="2" l="1"/>
  <c r="Y53" i="2"/>
  <c r="Y29" i="2" l="1"/>
  <c r="Y28" i="2"/>
  <c r="Y27" i="2"/>
  <c r="Y22" i="2"/>
  <c r="Y21" i="2"/>
  <c r="Y19" i="2"/>
  <c r="W29" i="2" l="1"/>
  <c r="W46" i="2" l="1"/>
  <c r="W41" i="2"/>
  <c r="W45" i="2" l="1"/>
  <c r="K101" i="2" l="1"/>
  <c r="W101" i="2"/>
  <c r="W17" i="2" l="1"/>
  <c r="AG53" i="2" l="1"/>
  <c r="AG15" i="2"/>
  <c r="W42" i="2" l="1"/>
  <c r="W58" i="2" l="1"/>
  <c r="W25" i="2"/>
  <c r="W19" i="2" l="1"/>
  <c r="U29" i="2" l="1"/>
  <c r="U24" i="2"/>
  <c r="U19" i="2"/>
  <c r="J106" i="2" l="1"/>
  <c r="U43" i="2"/>
  <c r="U42" i="2"/>
  <c r="U37" i="2"/>
  <c r="U22" i="2"/>
  <c r="U17" i="2"/>
  <c r="U25" i="2" l="1"/>
  <c r="U23" i="2"/>
  <c r="K97" i="2" l="1"/>
  <c r="K93" i="2"/>
  <c r="U93" i="2"/>
  <c r="K82" i="2"/>
  <c r="U82" i="2"/>
  <c r="K74" i="2"/>
  <c r="K68" i="2"/>
  <c r="K58" i="2"/>
  <c r="U58" i="2"/>
  <c r="U34" i="2" l="1"/>
  <c r="U35" i="2"/>
  <c r="U28" i="2" l="1"/>
  <c r="U21" i="2" l="1"/>
  <c r="K106" i="2" l="1"/>
  <c r="K107" i="2" s="1"/>
  <c r="J100" i="2"/>
  <c r="J96" i="2"/>
  <c r="J92" i="2"/>
  <c r="J91" i="2"/>
  <c r="J90" i="2"/>
  <c r="J89" i="2"/>
  <c r="J88" i="2"/>
  <c r="J87" i="2"/>
  <c r="J86" i="2"/>
  <c r="J85" i="2"/>
  <c r="J84" i="2"/>
  <c r="J81" i="2"/>
  <c r="J80" i="2"/>
  <c r="J79" i="2"/>
  <c r="J78" i="2"/>
  <c r="J77" i="2"/>
  <c r="J76" i="2"/>
  <c r="J73" i="2"/>
  <c r="J72" i="2"/>
  <c r="J71" i="2"/>
  <c r="J70" i="2"/>
  <c r="J67" i="2"/>
  <c r="J66" i="2"/>
  <c r="J65" i="2"/>
  <c r="J64" i="2"/>
  <c r="J63" i="2"/>
  <c r="J62" i="2"/>
  <c r="J61" i="2"/>
  <c r="J60" i="2"/>
  <c r="J57" i="2"/>
  <c r="J56" i="2"/>
  <c r="J55" i="2"/>
  <c r="J52" i="2"/>
  <c r="J51" i="2"/>
  <c r="J50" i="2"/>
  <c r="J49" i="2"/>
  <c r="J46" i="2"/>
  <c r="J45" i="2"/>
  <c r="J44" i="2"/>
  <c r="J43" i="2"/>
  <c r="J42" i="2"/>
  <c r="J41" i="2"/>
  <c r="J38" i="2"/>
  <c r="J37" i="2"/>
  <c r="J36" i="2"/>
  <c r="J35" i="2"/>
  <c r="J34" i="2"/>
  <c r="J31" i="2"/>
  <c r="J30" i="2"/>
  <c r="J29" i="2"/>
  <c r="J28" i="2"/>
  <c r="J27" i="2"/>
  <c r="J26" i="2"/>
  <c r="J25" i="2"/>
  <c r="J24" i="2"/>
  <c r="J23" i="2"/>
  <c r="J22" i="2"/>
  <c r="Z22" i="2" s="1"/>
  <c r="J21" i="2"/>
  <c r="J20" i="2"/>
  <c r="Z20" i="2" s="1"/>
  <c r="J19" i="2"/>
  <c r="Z19" i="2" s="1"/>
  <c r="J18" i="2"/>
  <c r="J17" i="2"/>
  <c r="J14" i="2"/>
  <c r="J13" i="2"/>
  <c r="Y107" i="2"/>
  <c r="W107" i="2"/>
  <c r="AG107" i="2" s="1"/>
  <c r="U107" i="2"/>
  <c r="Y100" i="2"/>
  <c r="W100" i="2"/>
  <c r="U100" i="2"/>
  <c r="Y97" i="2"/>
  <c r="W97" i="2"/>
  <c r="Y96" i="2"/>
  <c r="W96" i="2"/>
  <c r="U96" i="2"/>
  <c r="U97" i="2" s="1"/>
  <c r="Y92" i="2"/>
  <c r="W92" i="2"/>
  <c r="U92" i="2"/>
  <c r="K92" i="2" s="1"/>
  <c r="Y91" i="2"/>
  <c r="W91" i="2"/>
  <c r="U91" i="2"/>
  <c r="K91" i="2" s="1"/>
  <c r="Y90" i="2"/>
  <c r="W90" i="2"/>
  <c r="K90" i="2" s="1"/>
  <c r="U90" i="2"/>
  <c r="Y89" i="2"/>
  <c r="W89" i="2"/>
  <c r="U89" i="2"/>
  <c r="K89" i="2" s="1"/>
  <c r="Y88" i="2"/>
  <c r="W88" i="2"/>
  <c r="U88" i="2"/>
  <c r="K88" i="2" s="1"/>
  <c r="Y87" i="2"/>
  <c r="W87" i="2"/>
  <c r="U87" i="2"/>
  <c r="Y86" i="2"/>
  <c r="W86" i="2"/>
  <c r="U86" i="2"/>
  <c r="Y85" i="2"/>
  <c r="W85" i="2"/>
  <c r="U85" i="2"/>
  <c r="Y84" i="2"/>
  <c r="W84" i="2"/>
  <c r="U84" i="2"/>
  <c r="Y81" i="2"/>
  <c r="W81" i="2"/>
  <c r="U81" i="2"/>
  <c r="Y80" i="2"/>
  <c r="W80" i="2"/>
  <c r="U80" i="2"/>
  <c r="Y79" i="2"/>
  <c r="W79" i="2"/>
  <c r="U79" i="2"/>
  <c r="Y78" i="2"/>
  <c r="W78" i="2"/>
  <c r="U78" i="2"/>
  <c r="Y77" i="2"/>
  <c r="W77" i="2"/>
  <c r="U77" i="2"/>
  <c r="Y76" i="2"/>
  <c r="W76" i="2"/>
  <c r="W82" i="2" s="1"/>
  <c r="U76" i="2"/>
  <c r="Y73" i="2"/>
  <c r="W73" i="2"/>
  <c r="U73" i="2"/>
  <c r="Y72" i="2"/>
  <c r="W72" i="2"/>
  <c r="U72" i="2"/>
  <c r="Y71" i="2"/>
  <c r="W71" i="2"/>
  <c r="U71" i="2"/>
  <c r="Y70" i="2"/>
  <c r="W70" i="2"/>
  <c r="U70" i="2"/>
  <c r="U74" i="2" s="1"/>
  <c r="Y67" i="2"/>
  <c r="W67" i="2"/>
  <c r="U67" i="2"/>
  <c r="Y66" i="2"/>
  <c r="W66" i="2"/>
  <c r="U66" i="2"/>
  <c r="Y65" i="2"/>
  <c r="W65" i="2"/>
  <c r="U65" i="2"/>
  <c r="Y64" i="2"/>
  <c r="W64" i="2"/>
  <c r="U64" i="2"/>
  <c r="Y63" i="2"/>
  <c r="W63" i="2"/>
  <c r="U63" i="2"/>
  <c r="Y62" i="2"/>
  <c r="W62" i="2"/>
  <c r="U62" i="2"/>
  <c r="Y61" i="2"/>
  <c r="W61" i="2"/>
  <c r="U61" i="2"/>
  <c r="Y60" i="2"/>
  <c r="Y68" i="2" s="1"/>
  <c r="W60" i="2"/>
  <c r="U60" i="2"/>
  <c r="Y57" i="2"/>
  <c r="W57" i="2"/>
  <c r="U57" i="2"/>
  <c r="Y56" i="2"/>
  <c r="W56" i="2"/>
  <c r="U56" i="2"/>
  <c r="Y55" i="2"/>
  <c r="W55" i="2"/>
  <c r="U55" i="2"/>
  <c r="Y52" i="2"/>
  <c r="W52" i="2"/>
  <c r="U52" i="2"/>
  <c r="Y51" i="2"/>
  <c r="W51" i="2"/>
  <c r="U51" i="2"/>
  <c r="Y50" i="2"/>
  <c r="W50" i="2"/>
  <c r="U50" i="2"/>
  <c r="Y49" i="2"/>
  <c r="W49" i="2"/>
  <c r="U49" i="2"/>
  <c r="Y46" i="2"/>
  <c r="U46" i="2"/>
  <c r="Y45" i="2"/>
  <c r="U45" i="2"/>
  <c r="Y44" i="2"/>
  <c r="W44" i="2"/>
  <c r="U44" i="2"/>
  <c r="Y43" i="2"/>
  <c r="W43" i="2"/>
  <c r="Y42" i="2"/>
  <c r="Y41" i="2"/>
  <c r="U41" i="2"/>
  <c r="Y38" i="2"/>
  <c r="W38" i="2"/>
  <c r="U38" i="2"/>
  <c r="Y37" i="2"/>
  <c r="W37" i="2"/>
  <c r="Y36" i="2"/>
  <c r="W36" i="2"/>
  <c r="U36" i="2"/>
  <c r="Y35" i="2"/>
  <c r="W35" i="2"/>
  <c r="Y34" i="2"/>
  <c r="W34" i="2"/>
  <c r="Y31" i="2"/>
  <c r="W31" i="2"/>
  <c r="U31" i="2"/>
  <c r="Y30" i="2"/>
  <c r="W30" i="2"/>
  <c r="U30" i="2"/>
  <c r="W28" i="2"/>
  <c r="W27" i="2"/>
  <c r="U27" i="2"/>
  <c r="Y26" i="2"/>
  <c r="W26" i="2"/>
  <c r="U26" i="2"/>
  <c r="Y25" i="2"/>
  <c r="Y24" i="2"/>
  <c r="W24" i="2"/>
  <c r="Y23" i="2"/>
  <c r="W23" i="2"/>
  <c r="W22" i="2"/>
  <c r="W21" i="2"/>
  <c r="Y20" i="2"/>
  <c r="W20" i="2"/>
  <c r="U20" i="2"/>
  <c r="Y18" i="2"/>
  <c r="W18" i="2"/>
  <c r="U18" i="2"/>
  <c r="Y17" i="2"/>
  <c r="Y14" i="2"/>
  <c r="W14" i="2"/>
  <c r="U14" i="2"/>
  <c r="Y13" i="2"/>
  <c r="W13" i="2"/>
  <c r="U13" i="2"/>
  <c r="W32" i="2" l="1"/>
  <c r="AG32" i="2" s="1"/>
  <c r="W39" i="2"/>
  <c r="U32" i="2"/>
  <c r="U53" i="2"/>
  <c r="U15" i="2"/>
  <c r="Y82" i="2"/>
  <c r="W15" i="2"/>
  <c r="W47" i="2"/>
  <c r="AG47" i="2" s="1"/>
  <c r="W53" i="2"/>
  <c r="U68" i="2"/>
  <c r="W74" i="2"/>
  <c r="W68" i="2"/>
  <c r="W93" i="2" s="1"/>
  <c r="Y74" i="2"/>
  <c r="Y93" i="2" s="1"/>
  <c r="U47" i="2"/>
  <c r="U39" i="2"/>
  <c r="S107" i="2"/>
  <c r="S28" i="2"/>
  <c r="S24" i="2"/>
  <c r="S22" i="2"/>
  <c r="Y103" i="2" l="1"/>
  <c r="Y108" i="2" s="1"/>
  <c r="Y109" i="2" s="1"/>
  <c r="Y110" i="2" s="1"/>
  <c r="W103" i="2"/>
  <c r="W108" i="2" s="1"/>
  <c r="W109" i="2" s="1"/>
  <c r="W110" i="2" s="1"/>
  <c r="AG39" i="2"/>
  <c r="U103" i="2"/>
  <c r="U108" i="2" s="1"/>
  <c r="U109" i="2" s="1"/>
  <c r="U110" i="2" s="1"/>
  <c r="Q27" i="2"/>
  <c r="Q25" i="2"/>
  <c r="Q24" i="2"/>
  <c r="S20" i="2" l="1"/>
  <c r="S37" i="2"/>
  <c r="S35" i="2" l="1"/>
  <c r="S17" i="2" l="1"/>
  <c r="S19" i="2" l="1"/>
  <c r="S34" i="2" l="1"/>
  <c r="S21" i="2" l="1"/>
  <c r="S26" i="2" l="1"/>
  <c r="Q29" i="2" l="1"/>
  <c r="Q20" i="2"/>
  <c r="Q46" i="2" l="1"/>
  <c r="Q45" i="2"/>
  <c r="Q17" i="2"/>
  <c r="Q36" i="2"/>
  <c r="Q35" i="2"/>
  <c r="Q26" i="2" l="1"/>
  <c r="Q107" i="2" l="1"/>
  <c r="O29" i="2" l="1"/>
  <c r="O20" i="2"/>
  <c r="O19" i="2" l="1"/>
  <c r="O18" i="2" l="1"/>
  <c r="O26" i="2"/>
  <c r="O25" i="2"/>
  <c r="O23" i="2"/>
  <c r="O28" i="2" l="1"/>
  <c r="O17" i="2"/>
  <c r="O107" i="2" l="1"/>
  <c r="M18" i="2"/>
  <c r="M29" i="2" l="1"/>
  <c r="M23" i="2" l="1"/>
  <c r="M26" i="2"/>
  <c r="K26" i="2" s="1"/>
  <c r="M27" i="2" l="1"/>
  <c r="M107" i="2" l="1"/>
  <c r="I107" i="2"/>
  <c r="AE33" i="2" l="1"/>
  <c r="O11" i="2"/>
  <c r="Q11" i="2"/>
  <c r="S11" i="2"/>
  <c r="O13" i="2"/>
  <c r="Q13" i="2"/>
  <c r="S13" i="2"/>
  <c r="O14" i="2"/>
  <c r="Q14" i="2"/>
  <c r="S14" i="2"/>
  <c r="Q18" i="2"/>
  <c r="S18" i="2"/>
  <c r="Q19" i="2"/>
  <c r="O21" i="2"/>
  <c r="Q21" i="2"/>
  <c r="O22" i="2"/>
  <c r="Q22" i="2"/>
  <c r="Q23" i="2"/>
  <c r="S23" i="2"/>
  <c r="O24" i="2"/>
  <c r="S25" i="2"/>
  <c r="O27" i="2"/>
  <c r="S27" i="2"/>
  <c r="Q28" i="2"/>
  <c r="S29" i="2"/>
  <c r="K29" i="2" s="1"/>
  <c r="O30" i="2"/>
  <c r="Q30" i="2"/>
  <c r="S30" i="2"/>
  <c r="O31" i="2"/>
  <c r="Q31" i="2"/>
  <c r="S31" i="2"/>
  <c r="O34" i="2"/>
  <c r="Q34" i="2"/>
  <c r="O35" i="2"/>
  <c r="O36" i="2"/>
  <c r="S36" i="2"/>
  <c r="S39" i="2" s="1"/>
  <c r="O37" i="2"/>
  <c r="Q37" i="2"/>
  <c r="O38" i="2"/>
  <c r="Q38" i="2"/>
  <c r="S38" i="2"/>
  <c r="O41" i="2"/>
  <c r="Q41" i="2"/>
  <c r="S41" i="2"/>
  <c r="S47" i="2" s="1"/>
  <c r="O42" i="2"/>
  <c r="Q42" i="2"/>
  <c r="S42" i="2"/>
  <c r="O43" i="2"/>
  <c r="Q43" i="2"/>
  <c r="S43" i="2"/>
  <c r="O44" i="2"/>
  <c r="Q44" i="2"/>
  <c r="S44" i="2"/>
  <c r="O45" i="2"/>
  <c r="S45" i="2"/>
  <c r="O46" i="2"/>
  <c r="S46" i="2"/>
  <c r="O49" i="2"/>
  <c r="Q49" i="2"/>
  <c r="S49" i="2"/>
  <c r="O50" i="2"/>
  <c r="Q50" i="2"/>
  <c r="S50" i="2"/>
  <c r="O51" i="2"/>
  <c r="Q51" i="2"/>
  <c r="S51" i="2"/>
  <c r="O52" i="2"/>
  <c r="Q52" i="2"/>
  <c r="S52" i="2"/>
  <c r="O55" i="2"/>
  <c r="Q55" i="2"/>
  <c r="S55" i="2"/>
  <c r="O56" i="2"/>
  <c r="Q56" i="2"/>
  <c r="S56" i="2"/>
  <c r="O57" i="2"/>
  <c r="Q57" i="2"/>
  <c r="S57" i="2"/>
  <c r="O60" i="2"/>
  <c r="Q60" i="2"/>
  <c r="S60" i="2"/>
  <c r="O61" i="2"/>
  <c r="Q61" i="2"/>
  <c r="S61" i="2"/>
  <c r="O62" i="2"/>
  <c r="Q62" i="2"/>
  <c r="S62" i="2"/>
  <c r="O63" i="2"/>
  <c r="Q63" i="2"/>
  <c r="S63" i="2"/>
  <c r="O64" i="2"/>
  <c r="Q64" i="2"/>
  <c r="S64" i="2"/>
  <c r="O65" i="2"/>
  <c r="Q65" i="2"/>
  <c r="S65" i="2"/>
  <c r="O66" i="2"/>
  <c r="Q66" i="2"/>
  <c r="S66" i="2"/>
  <c r="O67" i="2"/>
  <c r="Q67" i="2"/>
  <c r="S67" i="2"/>
  <c r="O70" i="2"/>
  <c r="Q70" i="2"/>
  <c r="S70" i="2"/>
  <c r="O71" i="2"/>
  <c r="Q71" i="2"/>
  <c r="S71" i="2"/>
  <c r="O72" i="2"/>
  <c r="Q72" i="2"/>
  <c r="S72" i="2"/>
  <c r="O73" i="2"/>
  <c r="Q73" i="2"/>
  <c r="S73" i="2"/>
  <c r="O76" i="2"/>
  <c r="Q76" i="2"/>
  <c r="S76" i="2"/>
  <c r="O77" i="2"/>
  <c r="Q77" i="2"/>
  <c r="S77" i="2"/>
  <c r="O78" i="2"/>
  <c r="Q78" i="2"/>
  <c r="S78" i="2"/>
  <c r="O79" i="2"/>
  <c r="Q79" i="2"/>
  <c r="S79" i="2"/>
  <c r="O80" i="2"/>
  <c r="Q80" i="2"/>
  <c r="S80" i="2"/>
  <c r="O81" i="2"/>
  <c r="Q81" i="2"/>
  <c r="S81" i="2"/>
  <c r="O84" i="2"/>
  <c r="Q84" i="2"/>
  <c r="S84" i="2"/>
  <c r="O85" i="2"/>
  <c r="Q85" i="2"/>
  <c r="S85" i="2"/>
  <c r="O86" i="2"/>
  <c r="Q86" i="2"/>
  <c r="S86" i="2"/>
  <c r="O87" i="2"/>
  <c r="Q87" i="2"/>
  <c r="S87" i="2"/>
  <c r="O96" i="2"/>
  <c r="Q96" i="2"/>
  <c r="Q97" i="2" s="1"/>
  <c r="S96" i="2"/>
  <c r="O100" i="2"/>
  <c r="Q100" i="2"/>
  <c r="Q101" i="2" s="1"/>
  <c r="S100" i="2"/>
  <c r="K18" i="2" l="1"/>
  <c r="K27" i="2"/>
  <c r="K23" i="2"/>
  <c r="S32" i="2"/>
  <c r="Q47" i="2"/>
  <c r="Q39" i="2"/>
  <c r="O53" i="2"/>
  <c r="Q93" i="2"/>
  <c r="O58" i="2"/>
  <c r="Q82" i="2"/>
  <c r="Q74" i="2"/>
  <c r="Q68" i="2"/>
  <c r="Q58" i="2"/>
  <c r="Q53" i="2"/>
  <c r="Q32" i="2"/>
  <c r="O93" i="2"/>
  <c r="O74" i="2"/>
  <c r="O68" i="2"/>
  <c r="O32" i="2"/>
  <c r="S15" i="2"/>
  <c r="S58" i="2"/>
  <c r="S93" i="2"/>
  <c r="Q15" i="2"/>
  <c r="O39" i="2"/>
  <c r="O47" i="2"/>
  <c r="O15" i="2"/>
  <c r="S103" i="2" l="1"/>
  <c r="Q103" i="2"/>
  <c r="Q108" i="2" s="1"/>
  <c r="Q109" i="2" s="1"/>
  <c r="Q110" i="2" s="1"/>
  <c r="O103" i="2"/>
  <c r="O108" i="2" s="1"/>
  <c r="O109" i="2" s="1"/>
  <c r="O110" i="2" s="1"/>
  <c r="AA106" i="2"/>
  <c r="AC106" i="2" s="1"/>
  <c r="AB106" i="2"/>
  <c r="S108" i="2" l="1"/>
  <c r="S109" i="2" s="1"/>
  <c r="S110" i="2" s="1"/>
  <c r="AB107" i="2"/>
  <c r="AA107" i="2"/>
  <c r="AF101" i="2"/>
  <c r="Z13" i="2" l="1"/>
  <c r="Z28" i="2"/>
  <c r="AA28" i="2" s="1"/>
  <c r="Z29" i="2"/>
  <c r="AA29" i="2" s="1"/>
  <c r="Z89" i="2"/>
  <c r="Z90" i="2"/>
  <c r="Z91" i="2"/>
  <c r="Z92" i="2"/>
  <c r="Z88" i="2"/>
  <c r="I89" i="2"/>
  <c r="I90" i="2"/>
  <c r="I91" i="2"/>
  <c r="I92" i="2"/>
  <c r="I88" i="2"/>
  <c r="M78" i="2"/>
  <c r="K78" i="2" s="1"/>
  <c r="M79" i="2"/>
  <c r="K79" i="2" s="1"/>
  <c r="M80" i="2"/>
  <c r="K80" i="2" s="1"/>
  <c r="M81" i="2"/>
  <c r="K81" i="2" s="1"/>
  <c r="M77" i="2"/>
  <c r="K77" i="2" s="1"/>
  <c r="Z62" i="2"/>
  <c r="Z61" i="2"/>
  <c r="I78" i="2"/>
  <c r="I79" i="2"/>
  <c r="I80" i="2"/>
  <c r="I81" i="2"/>
  <c r="I77" i="2"/>
  <c r="M62" i="2"/>
  <c r="K62" i="2" s="1"/>
  <c r="M63" i="2"/>
  <c r="K63" i="2" s="1"/>
  <c r="M64" i="2"/>
  <c r="K64" i="2" s="1"/>
  <c r="M65" i="2"/>
  <c r="K65" i="2" s="1"/>
  <c r="M66" i="2"/>
  <c r="K66" i="2" s="1"/>
  <c r="M67" i="2"/>
  <c r="K67" i="2" s="1"/>
  <c r="M61" i="2"/>
  <c r="K61" i="2" s="1"/>
  <c r="I62" i="2"/>
  <c r="I63" i="2"/>
  <c r="I64" i="2"/>
  <c r="I65" i="2"/>
  <c r="I66" i="2"/>
  <c r="I67" i="2"/>
  <c r="I61" i="2"/>
  <c r="Z57" i="2"/>
  <c r="AA57" i="2" s="1"/>
  <c r="M57" i="2"/>
  <c r="K57" i="2" s="1"/>
  <c r="I57" i="2"/>
  <c r="Z44" i="2"/>
  <c r="I29" i="2"/>
  <c r="I28" i="2"/>
  <c r="M28" i="2"/>
  <c r="K28" i="2" s="1"/>
  <c r="Z17" i="2"/>
  <c r="AD29" i="2" l="1"/>
  <c r="Z25" i="2"/>
  <c r="AE25" i="2" s="1"/>
  <c r="Z21" i="2"/>
  <c r="AE21" i="2" s="1"/>
  <c r="AA61" i="2"/>
  <c r="AE61" i="2"/>
  <c r="Z80" i="2"/>
  <c r="AA80" i="2" s="1"/>
  <c r="Z63" i="2"/>
  <c r="AA63" i="2" s="1"/>
  <c r="AA89" i="2"/>
  <c r="AC89" i="2" s="1"/>
  <c r="AE89" i="2"/>
  <c r="Z27" i="2"/>
  <c r="AE27" i="2" s="1"/>
  <c r="Z66" i="2"/>
  <c r="AA66" i="2" s="1"/>
  <c r="Z81" i="2"/>
  <c r="AA81" i="2" s="1"/>
  <c r="Z64" i="2"/>
  <c r="AA64" i="2" s="1"/>
  <c r="AB88" i="2"/>
  <c r="AB89" i="2"/>
  <c r="AA90" i="2"/>
  <c r="AC90" i="2" s="1"/>
  <c r="AE90" i="2"/>
  <c r="Z31" i="2"/>
  <c r="AE31" i="2" s="1"/>
  <c r="AB92" i="2"/>
  <c r="AA88" i="2"/>
  <c r="AC88" i="2" s="1"/>
  <c r="AE88" i="2"/>
  <c r="AE19" i="2"/>
  <c r="Z30" i="2"/>
  <c r="AE30" i="2" s="1"/>
  <c r="Z79" i="2"/>
  <c r="AA79" i="2" s="1"/>
  <c r="AA62" i="2"/>
  <c r="AE62" i="2"/>
  <c r="AB91" i="2"/>
  <c r="AA92" i="2"/>
  <c r="AC92" i="2" s="1"/>
  <c r="AE92" i="2"/>
  <c r="AE29" i="2"/>
  <c r="Z26" i="2"/>
  <c r="AE26" i="2" s="1"/>
  <c r="AE20" i="2"/>
  <c r="Z77" i="2"/>
  <c r="AA77" i="2" s="1"/>
  <c r="Z78" i="2"/>
  <c r="AA78" i="2" s="1"/>
  <c r="Z65" i="2"/>
  <c r="AA65" i="2" s="1"/>
  <c r="AB90" i="2"/>
  <c r="AA91" i="2"/>
  <c r="AC91" i="2" s="1"/>
  <c r="AE91" i="2"/>
  <c r="AE28" i="2"/>
  <c r="AB81" i="2"/>
  <c r="AB78" i="2"/>
  <c r="AB80" i="2"/>
  <c r="AB79" i="2"/>
  <c r="AB77" i="2"/>
  <c r="AB62" i="2"/>
  <c r="AB64" i="2"/>
  <c r="AB61" i="2"/>
  <c r="AB63" i="2"/>
  <c r="AB65" i="2"/>
  <c r="AB67" i="2"/>
  <c r="AB57" i="2"/>
  <c r="AB28" i="2"/>
  <c r="Z18" i="2"/>
  <c r="AE80" i="2" l="1"/>
  <c r="AD66" i="2"/>
  <c r="AD81" i="2"/>
  <c r="AD80" i="2"/>
  <c r="AD63" i="2"/>
  <c r="AD64" i="2"/>
  <c r="AD91" i="2"/>
  <c r="AD92" i="2"/>
  <c r="AD65" i="2"/>
  <c r="AE66" i="2"/>
  <c r="AD89" i="2"/>
  <c r="AD61" i="2"/>
  <c r="AD78" i="2"/>
  <c r="AD62" i="2"/>
  <c r="AD88" i="2"/>
  <c r="AD90" i="2"/>
  <c r="AD79" i="2"/>
  <c r="AD77" i="2"/>
  <c r="AD28" i="2"/>
  <c r="AB29" i="2"/>
  <c r="AC62" i="2"/>
  <c r="AE64" i="2"/>
  <c r="AE78" i="2"/>
  <c r="AE63" i="2"/>
  <c r="AC81" i="2"/>
  <c r="AC66" i="2"/>
  <c r="AC64" i="2"/>
  <c r="AC65" i="2"/>
  <c r="AC63" i="2"/>
  <c r="AC77" i="2"/>
  <c r="AC78" i="2"/>
  <c r="AC80" i="2"/>
  <c r="AE65" i="2"/>
  <c r="AE77" i="2"/>
  <c r="AC61" i="2"/>
  <c r="AE79" i="2"/>
  <c r="AC79" i="2"/>
  <c r="AE81" i="2"/>
  <c r="AC28" i="2"/>
  <c r="AC29" i="2"/>
  <c r="AB66" i="2"/>
  <c r="AF66" i="2"/>
  <c r="AE18" i="2"/>
  <c r="AF18" i="2"/>
  <c r="AF30" i="2"/>
  <c r="AE22" i="2"/>
  <c r="AF22" i="2"/>
  <c r="AE17" i="2"/>
  <c r="AF17" i="2"/>
  <c r="Z76" i="2" l="1"/>
  <c r="Z67" i="2"/>
  <c r="AA67" i="2" s="1"/>
  <c r="Z46" i="2"/>
  <c r="Z45" i="2"/>
  <c r="Z43" i="2"/>
  <c r="Z42" i="2"/>
  <c r="Z41" i="2"/>
  <c r="AC67" i="2" l="1"/>
  <c r="AD67" i="2"/>
  <c r="Z23" i="2"/>
  <c r="AE23" i="2" s="1"/>
  <c r="Z24" i="2"/>
  <c r="AE24" i="2" s="1"/>
  <c r="M13" i="2"/>
  <c r="K13" i="2" s="1"/>
  <c r="M100" i="2" l="1"/>
  <c r="K100" i="2" s="1"/>
  <c r="M96" i="2"/>
  <c r="K96" i="2" s="1"/>
  <c r="M87" i="2"/>
  <c r="K87" i="2" s="1"/>
  <c r="M86" i="2"/>
  <c r="K86" i="2" s="1"/>
  <c r="M85" i="2"/>
  <c r="K85" i="2" s="1"/>
  <c r="M84" i="2"/>
  <c r="K84" i="2" s="1"/>
  <c r="M76" i="2"/>
  <c r="K76" i="2" s="1"/>
  <c r="M73" i="2"/>
  <c r="K73" i="2" s="1"/>
  <c r="M72" i="2"/>
  <c r="K72" i="2" s="1"/>
  <c r="M71" i="2"/>
  <c r="K71" i="2" s="1"/>
  <c r="M70" i="2"/>
  <c r="K70" i="2" s="1"/>
  <c r="M60" i="2"/>
  <c r="K60" i="2" s="1"/>
  <c r="M56" i="2"/>
  <c r="K56" i="2" s="1"/>
  <c r="M55" i="2"/>
  <c r="K55" i="2" s="1"/>
  <c r="M52" i="2"/>
  <c r="K52" i="2" s="1"/>
  <c r="M51" i="2"/>
  <c r="K51" i="2" s="1"/>
  <c r="M50" i="2"/>
  <c r="K50" i="2" s="1"/>
  <c r="M49" i="2"/>
  <c r="K49" i="2" s="1"/>
  <c r="M46" i="2"/>
  <c r="K46" i="2" s="1"/>
  <c r="M45" i="2"/>
  <c r="K45" i="2" s="1"/>
  <c r="M44" i="2"/>
  <c r="K44" i="2" s="1"/>
  <c r="M43" i="2"/>
  <c r="K43" i="2" s="1"/>
  <c r="M42" i="2"/>
  <c r="K42" i="2" s="1"/>
  <c r="M41" i="2"/>
  <c r="K41" i="2" s="1"/>
  <c r="M14" i="2"/>
  <c r="K14" i="2" s="1"/>
  <c r="K53" i="2" l="1"/>
  <c r="M93" i="2"/>
  <c r="M58" i="2"/>
  <c r="M15" i="2"/>
  <c r="M47" i="2"/>
  <c r="AE15" i="2" l="1"/>
  <c r="AF15" i="2"/>
  <c r="AF16" i="2"/>
  <c r="AF32" i="2"/>
  <c r="AF33" i="2"/>
  <c r="AF39" i="2"/>
  <c r="AF40" i="2"/>
  <c r="AF47" i="2"/>
  <c r="AF48" i="2"/>
  <c r="AF53" i="2"/>
  <c r="AF58" i="2"/>
  <c r="AF99" i="2"/>
  <c r="AF105" i="2"/>
  <c r="AE13" i="2" l="1"/>
  <c r="AF13" i="2"/>
  <c r="AA41" i="2"/>
  <c r="Z73" i="2"/>
  <c r="Z35" i="2"/>
  <c r="AF45" i="2"/>
  <c r="Z37" i="2"/>
  <c r="Z70" i="2"/>
  <c r="AA70" i="2" s="1"/>
  <c r="Z38" i="2"/>
  <c r="Z55" i="2"/>
  <c r="Z71" i="2"/>
  <c r="Z87" i="2"/>
  <c r="Z100" i="2"/>
  <c r="Z50" i="2"/>
  <c r="Z14" i="2"/>
  <c r="Z51" i="2"/>
  <c r="Z56" i="2"/>
  <c r="Z72" i="2"/>
  <c r="Z84" i="2"/>
  <c r="Z34" i="2"/>
  <c r="AE34" i="2" s="1"/>
  <c r="Z52" i="2"/>
  <c r="Z60" i="2"/>
  <c r="Z85" i="2"/>
  <c r="Z36" i="2"/>
  <c r="AA42" i="2"/>
  <c r="Z86" i="2"/>
  <c r="AA86" i="2" s="1"/>
  <c r="Z96" i="2"/>
  <c r="AA96" i="2" s="1"/>
  <c r="AA97" i="2" s="1"/>
  <c r="AA46" i="2"/>
  <c r="Z49" i="2"/>
  <c r="AA49" i="2" s="1"/>
  <c r="AE37" i="2" l="1"/>
  <c r="AF49" i="2"/>
  <c r="AE86" i="2"/>
  <c r="AE67" i="2"/>
  <c r="AF41" i="2"/>
  <c r="AE41" i="2"/>
  <c r="AA60" i="2"/>
  <c r="AA68" i="2" s="1"/>
  <c r="AE60" i="2"/>
  <c r="AA56" i="2"/>
  <c r="AE56" i="2"/>
  <c r="AF56" i="2"/>
  <c r="AE70" i="2"/>
  <c r="AA85" i="2"/>
  <c r="AE85" i="2"/>
  <c r="AF85" i="2"/>
  <c r="AA52" i="2"/>
  <c r="AF52" i="2"/>
  <c r="AE52" i="2"/>
  <c r="AA50" i="2"/>
  <c r="AE50" i="2"/>
  <c r="AF50" i="2"/>
  <c r="AA43" i="2"/>
  <c r="AE43" i="2"/>
  <c r="AF43" i="2"/>
  <c r="AA71" i="2"/>
  <c r="AE71" i="2"/>
  <c r="AF71" i="2"/>
  <c r="AA55" i="2"/>
  <c r="AE55" i="2"/>
  <c r="AF55" i="2"/>
  <c r="AF37" i="2"/>
  <c r="AA73" i="2"/>
  <c r="AF73" i="2"/>
  <c r="AE73" i="2"/>
  <c r="AF86" i="2"/>
  <c r="AE49" i="2"/>
  <c r="AA76" i="2"/>
  <c r="AA82" i="2" s="1"/>
  <c r="AE76" i="2"/>
  <c r="AF76" i="2"/>
  <c r="AF31" i="2"/>
  <c r="AA72" i="2"/>
  <c r="AF72" i="2"/>
  <c r="AE72" i="2"/>
  <c r="AA44" i="2"/>
  <c r="AF44" i="2"/>
  <c r="AE44" i="2"/>
  <c r="AD106" i="2"/>
  <c r="AA84" i="2"/>
  <c r="AF84" i="2"/>
  <c r="AE84" i="2"/>
  <c r="AA14" i="2"/>
  <c r="AF14" i="2"/>
  <c r="AE14" i="2"/>
  <c r="AA45" i="2"/>
  <c r="AE45" i="2"/>
  <c r="AE42" i="2"/>
  <c r="AF96" i="2"/>
  <c r="AF67" i="2"/>
  <c r="AF34" i="2"/>
  <c r="AA100" i="2"/>
  <c r="AA101" i="2" s="1"/>
  <c r="AF100" i="2"/>
  <c r="AE100" i="2"/>
  <c r="AE46" i="2"/>
  <c r="AF42" i="2"/>
  <c r="AE96" i="2"/>
  <c r="AF70" i="2"/>
  <c r="AE38" i="2"/>
  <c r="AF60" i="2"/>
  <c r="AF36" i="2"/>
  <c r="AE36" i="2"/>
  <c r="AA87" i="2"/>
  <c r="AE87" i="2"/>
  <c r="AF87" i="2"/>
  <c r="AA51" i="2"/>
  <c r="AE51" i="2"/>
  <c r="AF51" i="2"/>
  <c r="AF35" i="2"/>
  <c r="AE35" i="2"/>
  <c r="AF46" i="2"/>
  <c r="AF38" i="2"/>
  <c r="AA93" i="2" l="1"/>
  <c r="AA74" i="2"/>
  <c r="AA58" i="2"/>
  <c r="AA53" i="2"/>
  <c r="AF24" i="2" l="1"/>
  <c r="AF23" i="2"/>
  <c r="I13" i="2" l="1"/>
  <c r="AB13" i="2" l="1"/>
  <c r="I44" i="2"/>
  <c r="I86" i="2" l="1"/>
  <c r="I85" i="2"/>
  <c r="I14" i="2"/>
  <c r="AD44" i="2" l="1"/>
  <c r="AB85" i="2"/>
  <c r="AC85" i="2"/>
  <c r="AD85" i="2"/>
  <c r="AB14" i="2"/>
  <c r="AC14" i="2"/>
  <c r="AD14" i="2"/>
  <c r="AB86" i="2"/>
  <c r="AC86" i="2"/>
  <c r="AD86" i="2"/>
  <c r="AB44" i="2" l="1"/>
  <c r="AC44" i="2"/>
  <c r="I70" i="2" l="1"/>
  <c r="AB70" i="2" s="1"/>
  <c r="I60" i="2"/>
  <c r="I68" i="2" s="1"/>
  <c r="I49" i="2"/>
  <c r="AB60" i="2" l="1"/>
  <c r="AB49" i="2"/>
  <c r="AC49" i="2"/>
  <c r="AD49" i="2"/>
  <c r="AD60" i="2"/>
  <c r="AC60" i="2"/>
  <c r="AD70" i="2"/>
  <c r="AC70" i="2"/>
  <c r="I100" i="2" l="1"/>
  <c r="I101" i="2" s="1"/>
  <c r="I96" i="2"/>
  <c r="I97" i="2" s="1"/>
  <c r="I51" i="2"/>
  <c r="AB51" i="2" l="1"/>
  <c r="AC51" i="2"/>
  <c r="AD51" i="2"/>
  <c r="AB100" i="2"/>
  <c r="AC100" i="2"/>
  <c r="AD100" i="2"/>
  <c r="AB96" i="2"/>
  <c r="AC96" i="2"/>
  <c r="AD96" i="2"/>
  <c r="I55" i="2"/>
  <c r="I72" i="2"/>
  <c r="I73" i="2"/>
  <c r="I76" i="2"/>
  <c r="I82" i="2" s="1"/>
  <c r="I84" i="2"/>
  <c r="I87" i="2"/>
  <c r="I50" i="2"/>
  <c r="I52" i="2"/>
  <c r="I56" i="2"/>
  <c r="I42" i="2"/>
  <c r="I43" i="2"/>
  <c r="I45" i="2"/>
  <c r="I46" i="2"/>
  <c r="I93" i="2" l="1"/>
  <c r="I58" i="2"/>
  <c r="I53" i="2"/>
  <c r="AB45" i="2"/>
  <c r="AC45" i="2"/>
  <c r="AD45" i="2"/>
  <c r="AB56" i="2"/>
  <c r="AD56" i="2"/>
  <c r="AC56" i="2"/>
  <c r="AB52" i="2"/>
  <c r="AD52" i="2"/>
  <c r="AC52" i="2"/>
  <c r="AB55" i="2"/>
  <c r="AD55" i="2"/>
  <c r="AC55" i="2"/>
  <c r="AB43" i="2"/>
  <c r="AC43" i="2"/>
  <c r="AD43" i="2"/>
  <c r="AB42" i="2"/>
  <c r="AC42" i="2"/>
  <c r="AD42" i="2"/>
  <c r="AB50" i="2"/>
  <c r="AD50" i="2"/>
  <c r="AC50" i="2"/>
  <c r="AB87" i="2"/>
  <c r="AC87" i="2"/>
  <c r="AD87" i="2"/>
  <c r="AB72" i="2"/>
  <c r="AC72" i="2"/>
  <c r="AD72" i="2"/>
  <c r="AB73" i="2"/>
  <c r="AC73" i="2"/>
  <c r="AD73" i="2"/>
  <c r="AB46" i="2"/>
  <c r="AC46" i="2"/>
  <c r="AD46" i="2"/>
  <c r="AB84" i="2"/>
  <c r="AC84" i="2"/>
  <c r="AD84" i="2"/>
  <c r="AB76" i="2"/>
  <c r="AC76" i="2"/>
  <c r="AD76" i="2"/>
  <c r="AA13" i="2" l="1"/>
  <c r="AA15" i="2" l="1"/>
  <c r="AD13" i="2"/>
  <c r="AC13" i="2"/>
  <c r="K15" i="2"/>
  <c r="I71" i="2" l="1"/>
  <c r="I74" i="2" s="1"/>
  <c r="I41" i="2"/>
  <c r="AB11" i="2"/>
  <c r="AB71" i="2" l="1"/>
  <c r="AD71" i="2"/>
  <c r="AC71" i="2"/>
  <c r="AB41" i="2"/>
  <c r="AC41" i="2"/>
  <c r="AD41" i="2"/>
  <c r="I47" i="2"/>
  <c r="AA47" i="2" l="1"/>
  <c r="K47" i="2"/>
  <c r="AB93" i="2"/>
  <c r="I15" i="2" l="1"/>
  <c r="AC15" i="2" l="1"/>
  <c r="AD15" i="2"/>
  <c r="AB15" i="2"/>
  <c r="AB58" i="2" l="1"/>
  <c r="AB47" i="2" l="1"/>
  <c r="I21" i="2" l="1"/>
  <c r="I26" i="2"/>
  <c r="I19" i="2"/>
  <c r="I30" i="2"/>
  <c r="I27" i="2"/>
  <c r="AA19" i="2"/>
  <c r="M19" i="2"/>
  <c r="K19" i="2" s="1"/>
  <c r="I22" i="2"/>
  <c r="I17" i="2"/>
  <c r="I31" i="2"/>
  <c r="AA23" i="2"/>
  <c r="AA20" i="2"/>
  <c r="I25" i="2"/>
  <c r="M25" i="2"/>
  <c r="K25" i="2" s="1"/>
  <c r="AA25" i="2"/>
  <c r="AA27" i="2"/>
  <c r="AA31" i="2"/>
  <c r="M31" i="2"/>
  <c r="K31" i="2" s="1"/>
  <c r="AA24" i="2"/>
  <c r="AA17" i="2"/>
  <c r="M17" i="2"/>
  <c r="K17" i="2" s="1"/>
  <c r="AA18" i="2"/>
  <c r="AA22" i="2"/>
  <c r="M22" i="2"/>
  <c r="K22" i="2" s="1"/>
  <c r="I23" i="2"/>
  <c r="M24" i="2"/>
  <c r="K24" i="2" s="1"/>
  <c r="I24" i="2"/>
  <c r="M30" i="2"/>
  <c r="K30" i="2" s="1"/>
  <c r="AA30" i="2"/>
  <c r="I18" i="2"/>
  <c r="AA26" i="2"/>
  <c r="M20" i="2"/>
  <c r="K20" i="2" s="1"/>
  <c r="I20" i="2"/>
  <c r="M21" i="2"/>
  <c r="K21" i="2" s="1"/>
  <c r="AA21" i="2"/>
  <c r="M32" i="2" l="1"/>
  <c r="AA32" i="2"/>
  <c r="I32" i="2"/>
  <c r="AB25" i="2"/>
  <c r="AD31" i="2"/>
  <c r="AC30" i="2"/>
  <c r="AC24" i="2"/>
  <c r="AD22" i="2"/>
  <c r="AB27" i="2"/>
  <c r="AC17" i="2"/>
  <c r="AB18" i="2"/>
  <c r="AB21" i="2" l="1"/>
  <c r="AD21" i="2"/>
  <c r="AB20" i="2"/>
  <c r="AD20" i="2"/>
  <c r="AB19" i="2"/>
  <c r="AD19" i="2"/>
  <c r="AD27" i="2"/>
  <c r="AD25" i="2"/>
  <c r="AD30" i="2"/>
  <c r="K32" i="2"/>
  <c r="AB26" i="2"/>
  <c r="AD26" i="2"/>
  <c r="AC25" i="2"/>
  <c r="AC22" i="2"/>
  <c r="AC19" i="2"/>
  <c r="AC21" i="2"/>
  <c r="AC26" i="2"/>
  <c r="AC27" i="2"/>
  <c r="AC31" i="2"/>
  <c r="AC20" i="2"/>
  <c r="AB23" i="2"/>
  <c r="AC23" i="2"/>
  <c r="AB31" i="2"/>
  <c r="AD23" i="2"/>
  <c r="AB30" i="2"/>
  <c r="AB17" i="2"/>
  <c r="AD17" i="2"/>
  <c r="AB22" i="2"/>
  <c r="AD24" i="2"/>
  <c r="AB24" i="2"/>
  <c r="AD18" i="2"/>
  <c r="AC18" i="2"/>
  <c r="AB32" i="2" l="1"/>
  <c r="AA34" i="2"/>
  <c r="I38" i="2"/>
  <c r="I35" i="2"/>
  <c r="I36" i="2"/>
  <c r="I37" i="2"/>
  <c r="M34" i="2"/>
  <c r="K34" i="2" s="1"/>
  <c r="I34" i="2"/>
  <c r="AA35" i="2"/>
  <c r="M35" i="2"/>
  <c r="K35" i="2" s="1"/>
  <c r="AA36" i="2"/>
  <c r="M36" i="2"/>
  <c r="K36" i="2" s="1"/>
  <c r="AA38" i="2"/>
  <c r="M38" i="2"/>
  <c r="K38" i="2" s="1"/>
  <c r="AA37" i="2"/>
  <c r="M37" i="2"/>
  <c r="K37" i="2" s="1"/>
  <c r="K39" i="2" l="1"/>
  <c r="K103" i="2" s="1"/>
  <c r="AB34" i="2"/>
  <c r="AD35" i="2"/>
  <c r="AC38" i="2"/>
  <c r="AC37" i="2"/>
  <c r="AD36" i="2"/>
  <c r="M39" i="2"/>
  <c r="AA39" i="2"/>
  <c r="AA108" i="2" s="1"/>
  <c r="I39" i="2"/>
  <c r="I103" i="2" s="1"/>
  <c r="H108" i="2" s="1"/>
  <c r="AA103" i="2" l="1"/>
  <c r="AA109" i="2"/>
  <c r="AA110" i="2" s="1"/>
  <c r="M103" i="2"/>
  <c r="M108" i="2" s="1"/>
  <c r="AC34" i="2"/>
  <c r="AD34" i="2"/>
  <c r="AB36" i="2"/>
  <c r="AC36" i="2"/>
  <c r="AB38" i="2"/>
  <c r="AD38" i="2"/>
  <c r="AC35" i="2"/>
  <c r="AB35" i="2"/>
  <c r="AD37" i="2"/>
  <c r="AB37" i="2"/>
  <c r="M109" i="2" l="1"/>
  <c r="M110" i="2" s="1"/>
  <c r="H109" i="2"/>
  <c r="AB39" i="2"/>
  <c r="K108" i="2" l="1"/>
  <c r="K109" i="2" s="1"/>
  <c r="K110" i="2" s="1"/>
  <c r="H110" i="2"/>
  <c r="AB108" i="2" l="1"/>
  <c r="AC108" i="2"/>
  <c r="AD108" i="2"/>
  <c r="AD110" i="2"/>
  <c r="AD109" i="2"/>
  <c r="AB109" i="2"/>
  <c r="AC109" i="2"/>
  <c r="AC110" i="2"/>
  <c r="AB110" i="2"/>
</calcChain>
</file>

<file path=xl/sharedStrings.xml><?xml version="1.0" encoding="utf-8"?>
<sst xmlns="http://schemas.openxmlformats.org/spreadsheetml/2006/main" count="407" uniqueCount="251">
  <si>
    <t>DISCRIMINAÇÃO</t>
  </si>
  <si>
    <t>M</t>
  </si>
  <si>
    <t>SERVIÇOS PRELIMINARES</t>
  </si>
  <si>
    <t>M3</t>
  </si>
  <si>
    <t>M2</t>
  </si>
  <si>
    <t>KG</t>
  </si>
  <si>
    <t>M3XKM</t>
  </si>
  <si>
    <t>FORNECIMENTO E APLICAÇÃO DE AÇO CA-50 - DIÂMETRO &gt; OU = 1/2"</t>
  </si>
  <si>
    <t>DRENAGEM</t>
  </si>
  <si>
    <t>LASTRO DE BRITA E PÓ DE PEDRA</t>
  </si>
  <si>
    <t>UNID.</t>
  </si>
  <si>
    <t>QUANT. ACUMUL.</t>
  </si>
  <si>
    <t>VALOR ACUMUL.</t>
  </si>
  <si>
    <t>VALOR MÊS</t>
  </si>
  <si>
    <t>SALDO QUANT.</t>
  </si>
  <si>
    <t>SALDO (R$)</t>
  </si>
  <si>
    <t>% ACUMUL. EXECUTADA</t>
  </si>
  <si>
    <t xml:space="preserve">SERVIÇOS PRELIMINARES </t>
  </si>
  <si>
    <t>Placa de obra em chapa de aço galvanizado</t>
  </si>
  <si>
    <t>1.1</t>
  </si>
  <si>
    <t>1.2</t>
  </si>
  <si>
    <t>UN</t>
  </si>
  <si>
    <t>BRITAGEM DOS MATERIAIS PROVENIENTES DOS RESÍDUOS DA CONSTRUÇÃO CIVIL</t>
  </si>
  <si>
    <t>Serviços Preliminares</t>
  </si>
  <si>
    <t>Movimento de Terra</t>
  </si>
  <si>
    <t>Assentamento</t>
  </si>
  <si>
    <t>Escoramentos</t>
  </si>
  <si>
    <t>Sinaliz. HOR. c/ termoplast HOT-spray</t>
  </si>
  <si>
    <t>TRANSPORTE DE 1A/2A. CATEGORIA ALEM 15KM</t>
  </si>
  <si>
    <t>13.1</t>
  </si>
  <si>
    <t>Suporte de transformador em poste ou estaleiro</t>
  </si>
  <si>
    <t>Isolador tipo roldana para baixa tensão de 76 x 79 mm</t>
  </si>
  <si>
    <t>Suporte para 4 isoladores de baixa tensão</t>
  </si>
  <si>
    <t>Projeto e implementação de gerenciamento integrado de resíduos sólidos e gestão de perdas</t>
  </si>
  <si>
    <t>ADMINISTRAÇÃO LOCAL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</si>
  <si>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</si>
  <si>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</si>
  <si>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</si>
  <si>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</si>
  <si>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</si>
  <si>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</si>
  <si>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</si>
  <si>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</si>
  <si>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</si>
  <si>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</si>
  <si>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</si>
  <si>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</si>
  <si>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</si>
  <si>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</si>
  <si>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</si>
  <si>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</si>
  <si>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</si>
  <si>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</si>
  <si>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6.2</t>
  </si>
  <si>
    <t>6.3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</si>
  <si>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</si>
  <si>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</si>
  <si>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</si>
  <si>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</si>
  <si>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</si>
  <si>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</si>
  <si>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</si>
  <si>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</si>
  <si>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</si>
  <si>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</si>
  <si>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</si>
  <si>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</si>
  <si>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</si>
  <si>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</si>
  <si>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</si>
  <si>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</si>
  <si>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</si>
  <si>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</si>
  <si>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</si>
  <si>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</si>
  <si>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10.5</t>
  </si>
  <si>
    <t>10.6</t>
  </si>
  <si>
    <t>11.1</t>
  </si>
  <si>
    <t>12.1</t>
  </si>
  <si>
    <t>TOTAL GERAL</t>
  </si>
  <si>
    <t>CASAMAX COMERCIAL E SERVIÇOS LTDA</t>
  </si>
  <si>
    <t>Kleberson dos Santos Agibert</t>
  </si>
  <si>
    <t>CREA/SP N° 5069939327-SP</t>
  </si>
  <si>
    <t>Engenheiro Civil</t>
  </si>
  <si>
    <t>1ª MED - QUANT. (MÊS)</t>
  </si>
  <si>
    <t>Av. Manoel Casanova nº 1435 - Bloco C - Meu Cantinho - Suzano/SP, CEP: 08.664-645</t>
  </si>
  <si>
    <t>CNPJ: 08.183.516/0001-20 - inscr. Est. Nº 672.206.393.115 - TEL./FAX: (11) 4745-0568</t>
  </si>
  <si>
    <t xml:space="preserve"> e-mail: comercial@acasamax.com.br </t>
  </si>
  <si>
    <t>À</t>
  </si>
  <si>
    <t>SOLICITAÇÃO DE LIBERAÇÃO DE MEDIÇÃO</t>
  </si>
  <si>
    <t>Anexo documentos:</t>
  </si>
  <si>
    <t>o   Memória de Cálculo</t>
  </si>
  <si>
    <t xml:space="preserve">o   Cronograma </t>
  </si>
  <si>
    <t>o   Croqui</t>
  </si>
  <si>
    <t>Nestes Termos,</t>
  </si>
  <si>
    <t>Pede deferimento.</t>
  </si>
  <si>
    <t>_________________________________</t>
  </si>
  <si>
    <t>PREFEITURA MUNICIPAL DE SOROCABA</t>
  </si>
  <si>
    <t>o   Tabelas</t>
  </si>
  <si>
    <t>2ª MED - QUANT. (MÊS)</t>
  </si>
  <si>
    <t>o   Nota Fiscal</t>
  </si>
  <si>
    <t>3ª MED - QUANT. (MÊS)</t>
  </si>
  <si>
    <t>CONCORRÊNCIA PÚBLICA N°. 024/2021</t>
  </si>
  <si>
    <t>QUANT.</t>
  </si>
  <si>
    <t>CUSTO (R$)</t>
  </si>
  <si>
    <t xml:space="preserve">TOTAL </t>
  </si>
  <si>
    <t>Banheiro químico modelo Standard, com manutenção conforme exigências da CETESB</t>
  </si>
  <si>
    <t>UNMES</t>
  </si>
  <si>
    <t xml:space="preserve">RECAPEAMENTO ASFÁLTICO </t>
  </si>
  <si>
    <t>2.4</t>
  </si>
  <si>
    <t>2.5</t>
  </si>
  <si>
    <t>2.6</t>
  </si>
  <si>
    <t>FRESAGEM PAVIMENTO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</si>
  <si>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</si>
  <si>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</si>
  <si>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</si>
  <si>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</si>
  <si>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</si>
  <si>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</si>
  <si>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</si>
  <si>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</si>
  <si>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</si>
  <si>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IRRIGAÇÃO DE RUAS</t>
  </si>
  <si>
    <t>ABERTURA DE CAIXA ATÉ 25CM, INCLUI ESCAVAÇÃO, COMPACTAÇÃO, TRANSPORTE E PREPARO DO SUE-LEITO</t>
  </si>
  <si>
    <t>IMPRIMADURA BETUMINOSA LIGANTE</t>
  </si>
  <si>
    <t>IMPRIMADURA BET.IMPERMEABILIZANTE</t>
  </si>
  <si>
    <t>GEOGRELHA POLIETILENO RESIST. TRANSV. 100 KN/M - RESIST. LONGIT. 100 KNIM</t>
  </si>
  <si>
    <t>BASE BETUMINOSA DE MATERIAIS PROVENIENTES DOS RESIDUOS SOLIDOS DA CONSTRUÇÃO CIVIL (RCC) E/OU DA FRESAGEM DE PAVIMENTOS ASFALTICOS (RAP) RECICLADO EM USINA MOVEL COM ATÉ 3% DE CAP FORNECIMENTO E APLICAÇÃO NÃO INCLUITRANSPORTE ATÉ O LOCAL DOS SERVIÇOS</t>
  </si>
  <si>
    <t>CARGA, DESCARGA E TRANSPORTE DE RAP ATÉ A DISTÂNCIA - MÉDIA DE IDA E VOLTA DE 1KM</t>
  </si>
  <si>
    <t>TRANSPORTE DE CONCRETO ASFÁLTICO, ALEM DO PRIMEIRO KM (ATÉ 20 KM) - RAP</t>
  </si>
  <si>
    <t>REVESTIMENTO DE CONCRETO ASFÁLTICO</t>
  </si>
  <si>
    <t>CARGA, DESCARGA E TRANSPORTE DE CONCRETO ASFÁLTICO ATÉ A DISTÂNCIA MÉDIA DE IDA E VOLTA DE 1KM</t>
  </si>
  <si>
    <t>TRANSPORTE DE CONCRETO ASFÁLTICO, ALÉM DO PRIMEIRO KM (ATÉ 20KM)</t>
  </si>
  <si>
    <t>LEVANTAMENTO OU REBAIXAMENTO DE TAMPÃO D EPOÇOS DE VISITA</t>
  </si>
  <si>
    <t>INSTALAÇÃO DE TAMPÃO PARA GALERIAS DE ÁGUAS PLUVIAIS - ARTICULADO, EXCETO FORNECIMENTO DE TAMPÃO</t>
  </si>
  <si>
    <t xml:space="preserve">UN </t>
  </si>
  <si>
    <t>Demolição de concreto simples</t>
  </si>
  <si>
    <t>Carga e remoção de entulho até a distancia média de ida e volta 1km</t>
  </si>
  <si>
    <t>GUIA (MEIO-FIO) E SARJETA CONJUGADOS DE CONCRETO, MOLDADA IN LOCO TRECHO RETO COM EXTRUSORA, GUIA 13 CM BASE X 22 CM ALTURA, SARJETA 30 CM BASE X 8,5 CM ALTURA. AF 06/2016</t>
  </si>
  <si>
    <t>Transporte de pavimentação de concreto, sarjeta ou sarjetão</t>
  </si>
  <si>
    <t>REFORMA DE BOCA DE LOBO SIMPLES</t>
  </si>
  <si>
    <t>M2XKM</t>
  </si>
  <si>
    <t xml:space="preserve">SARJETÃO </t>
  </si>
  <si>
    <t>DEMOLIÇÃO DE PAVIMENTO ASFÁLTICO, INCLUSIVE CAPA, INCLUI  CARGA NO CAMINHÃO</t>
  </si>
  <si>
    <t>FORNECIMENTO E APLICAÇÃO DE CONCRETO USINADO FCK=30,OMPA</t>
  </si>
  <si>
    <t>FORMA PLANA PARA CONCRETO COMUM</t>
  </si>
  <si>
    <t xml:space="preserve">SUBSTITUIÇÃO DE ILUMINAÇÃO </t>
  </si>
  <si>
    <t>Luminária de led para iluminação pública, de 98W até 137W</t>
  </si>
  <si>
    <t>Substituição de luminária de vapor de mercúrio/vapor de sódio por luminária de led para iluminação pública</t>
  </si>
  <si>
    <t>Cabo de cobre flexível de 3 x 1,5 mm?, isolamento 0,6/1 Kv, isolação HEPR 90ºC</t>
  </si>
  <si>
    <t>Rele fotoeletrico p/ comando de iluminação externa 220v/1000W</t>
  </si>
  <si>
    <t>SUBTOTAL SUBSTITUIÇÃO DE ILUMINAÇÃO</t>
  </si>
  <si>
    <t>SINALIZAÇÃO HORIZONTAL DAS VIAS</t>
  </si>
  <si>
    <t xml:space="preserve">6.1 </t>
  </si>
  <si>
    <t>Sinaliz. HOR. c/ termoplast extrudado</t>
  </si>
  <si>
    <t>PINTURA DE PISO COM TINTA ACRÍLICA, APLICAÇÃO MANUAL, 3 DEMÃOS</t>
  </si>
  <si>
    <t>PAVIMENTAÇÃO - Av. Padre Lívio Emílio Calliari (465m) e Rua Roque Vieira (100m)</t>
  </si>
  <si>
    <t>CAMADA ROLAMENTO CBUQ GRADUAÇÃO C-S/DOP</t>
  </si>
  <si>
    <t>CONC. ASF. US. QUENTE - BINDER GRAD. A C/DOP</t>
  </si>
  <si>
    <t>TRANSPORTE DE BINDER ALÉM DO PRIMEIRO KM</t>
  </si>
  <si>
    <t>DRENAGEM - Av. Padre Lívio Emílio Calliari (465m) e Rua Roque Vieira (100m)</t>
  </si>
  <si>
    <t>SARJETÃO - Av. Padre Lívio Emílio Calliari (465m) e Rua Roque Vieira (100m)</t>
  </si>
  <si>
    <t>ITEM</t>
  </si>
  <si>
    <t>9.5</t>
  </si>
  <si>
    <t>9.6</t>
  </si>
  <si>
    <t>SUBTOTAL SARJETA - Av. Padre Lívio Emílio Calliari (465m) e Rua Roque Vieira (100m)</t>
  </si>
  <si>
    <t>SUBSTITUIÇÃO DE ILUMINAÇÃO - Av. Padre Lívio Emílio Calliari</t>
  </si>
  <si>
    <t>LUMINARIA DE LED PARA ILUMIMACAO PUBLICA, DE 98 W ATE 137 V - FORNECIMENTO E INSTAU^pAO. AF_08/2020</t>
  </si>
  <si>
    <t>CABO DE COBRE FLEXiVEL ISOLADO, 1,5 MM2, ANTI-CHAMA 0,6/1,0 V, PARA CIRCUiTOS TERMINAIS - FORNECIMEMTO E INSTALACAO. AF_12/2015</t>
  </si>
  <si>
    <t>Suporte tubular de fixação em poste para 1 luminaria tipo petala</t>
  </si>
  <si>
    <t>RELE FOTOELÉTRICO PARA COMANDO DE ILUMINAÇÃO EXTERNA 1000 W - FORMECIMENTO E INSTALAÇÃO. AF_08/2020</t>
  </si>
  <si>
    <t>UM</t>
  </si>
  <si>
    <t>10.7</t>
  </si>
  <si>
    <t>10.8</t>
  </si>
  <si>
    <t>10.9</t>
  </si>
  <si>
    <t>Transformador dfe potência trifásico de 30 kva, classe 1,2 kv a seco com cabine</t>
  </si>
  <si>
    <t>Cabo de cobre flexível de 16 mm2, isolamento 0,6/1kv - Isolação HEPR 90ºC</t>
  </si>
  <si>
    <t>SINALIZAÇÃO HORIZONTAL DAS VIAS - Av. Padre Lívio Emílio Calliari (465m) e Rua Roque (100m)</t>
  </si>
  <si>
    <t>SUB TOTAL SINALIZAÇÃO HORIZONTAL DAS VIAS - Av. Padre Lívio Emílio Calliari (465m) e Rua Roque Vieira (100m)</t>
  </si>
  <si>
    <t>Administração local</t>
  </si>
  <si>
    <t>VB</t>
  </si>
  <si>
    <t>BDI 28,29%</t>
  </si>
  <si>
    <t>TOTAL CUSTO:</t>
  </si>
  <si>
    <t>REF.</t>
  </si>
  <si>
    <t>SIURB-INFRA</t>
  </si>
  <si>
    <t>CDHU</t>
  </si>
  <si>
    <t>Nº REF.</t>
  </si>
  <si>
    <t>10-16-03</t>
  </si>
  <si>
    <t>02.01.180</t>
  </si>
  <si>
    <t>DER</t>
  </si>
  <si>
    <t>37.03.18.99</t>
  </si>
  <si>
    <t>05-69-00</t>
  </si>
  <si>
    <t>05-11-00</t>
  </si>
  <si>
    <t>05-26-00</t>
  </si>
  <si>
    <t>05-27-00</t>
  </si>
  <si>
    <t>22.08.30.99</t>
  </si>
  <si>
    <t>05-99-02</t>
  </si>
  <si>
    <t>08-87-00</t>
  </si>
  <si>
    <t>05-77-01</t>
  </si>
  <si>
    <t>05-78-07</t>
  </si>
  <si>
    <t>05-28-00</t>
  </si>
  <si>
    <t>05-78-01</t>
  </si>
  <si>
    <t>06-21-00</t>
  </si>
  <si>
    <t>06-20-03</t>
  </si>
  <si>
    <t>08-49-00</t>
  </si>
  <si>
    <t>08-80-00</t>
  </si>
  <si>
    <t>SINAPI</t>
  </si>
  <si>
    <t>09-42-67</t>
  </si>
  <si>
    <t>05-81-00</t>
  </si>
  <si>
    <t>06-23-01</t>
  </si>
  <si>
    <t>05-04-00</t>
  </si>
  <si>
    <t>37.02.26.99</t>
  </si>
  <si>
    <t>06-05-00</t>
  </si>
  <si>
    <t>07-10-00</t>
  </si>
  <si>
    <t>07-17-00</t>
  </si>
  <si>
    <t>24.05.01.99</t>
  </si>
  <si>
    <t>10-16-57</t>
  </si>
  <si>
    <t>10-16-61</t>
  </si>
  <si>
    <t>09-19-25</t>
  </si>
  <si>
    <t>10-16-32</t>
  </si>
  <si>
    <t>28.03.03.99</t>
  </si>
  <si>
    <t>28.03.05.99</t>
  </si>
  <si>
    <t>102492</t>
  </si>
  <si>
    <t>23.08.03.01.99</t>
  </si>
  <si>
    <t>57807</t>
  </si>
  <si>
    <t>23.05.02.99</t>
  </si>
  <si>
    <t>23.08.01.99</t>
  </si>
  <si>
    <t>57907</t>
  </si>
  <si>
    <t>58100</t>
  </si>
  <si>
    <t>41.11.440</t>
  </si>
  <si>
    <t>36.09.230</t>
  </si>
  <si>
    <t>36.20.360</t>
  </si>
  <si>
    <t>39.21.060</t>
  </si>
  <si>
    <t>36.05.010</t>
  </si>
  <si>
    <t>36.04.070</t>
  </si>
  <si>
    <t>01.27.011</t>
  </si>
  <si>
    <t>ACÓRDÃO      TCU 26222/2013</t>
  </si>
  <si>
    <t>SUB TOTAL</t>
  </si>
  <si>
    <t>SUB TOTAL  DE CUSTOS</t>
  </si>
  <si>
    <t>TOTAL DA ADMINISTRAÇÃO LOCAL</t>
  </si>
  <si>
    <t>OBRA:  CONTRATAÇÃO DE EMPRESA ESPECIALIZADA PARA EXECUÇÃO DE SERVIÇOS DE REABILITAÇÃO D INFRAESTRUTURA EM VIAS DO SETOR 7, NO MUNICÍPIO DE SOROCABA</t>
  </si>
  <si>
    <t>4ª MED - QUANT. (MÊS)</t>
  </si>
  <si>
    <t>5ª MED - QUANT. (MÊS)</t>
  </si>
  <si>
    <t>6ª MED - QUANT. (MÊS)</t>
  </si>
  <si>
    <t>7ª MED - QUANT. (MÊS)</t>
  </si>
  <si>
    <t>MEDIÇÃO: 07° MEDIÇÃO - R00</t>
  </si>
  <si>
    <t>REFERENTE AO MÊS: 01/05/2024 À 31/05/2024</t>
  </si>
  <si>
    <t>PERÍODO: 01.05.2024 à 31.05.2024</t>
  </si>
  <si>
    <t>CASAMAX COMERCIAL E SERVIÇOS LTDA, sediada na Avenida Manoel Casanova Nº 1435, bloco C, Meu Cantinho, Suzano/SP, inscrita no CNPJ nº 08.183.516/0001-20 e Inscrição estadual nº 672.206.393.115, vem mui respeitosamente requerer de vossa excelência a liberação da medição nº 07.</t>
  </si>
  <si>
    <t>o   Medição nº 07</t>
  </si>
  <si>
    <t>DATA DA MEDIÇÃO : 12/06/2024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</si>
</sst>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.000%"/>
    <numFmt numFmtId="167" formatCode="&quot;Suzano/SP,&quot;\ dd\ &quot;de&quot;\ mmmm\ &quot;de&quot;\ yyyy&quot;.&quot;"/>
    <numFmt numFmtId="168" formatCode="_-&quot;R$&quot;* #,##0.00_-;\-&quot;R$&quot;* #,##0.00_-;_-&quot;R$&quot;* &quot;-&quot;??_-;_-@_-"/>
  </numFmts>
  <fonts count="3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sz val="8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mbria"/>
      <family val="2"/>
      <scheme val="major"/>
    </font>
    <font>
      <sz val="8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Times New Roman"/>
      <family val="1"/>
    </font>
    <font>
      <b/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14"/>
      <color rgb="FF000000"/>
      <name val="Calibri Light"/>
      <family val="2"/>
    </font>
    <font>
      <b/>
      <u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39" fontId="3" fillId="0" borderId="0" applyFill="0" applyBorder="0" applyAlignment="0" applyProtection="0"/>
    <xf numFmtId="9" fontId="3" fillId="0" borderId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8" fontId="14" fillId="0" borderId="0" applyFont="0" applyFill="0" applyBorder="0" applyAlignment="0" applyProtection="0"/>
    <xf numFmtId="0" fontId="2" fillId="0" borderId="0"/>
    <xf numFmtId="0" fontId="2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9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4" fontId="4" fillId="4" borderId="0" xfId="0" applyNumberFormat="1" applyFont="1" applyFill="1"/>
    <xf numFmtId="44" fontId="4" fillId="0" borderId="0" xfId="6" applyFont="1"/>
    <xf numFmtId="44" fontId="4" fillId="0" borderId="0" xfId="0" applyNumberFormat="1" applyFont="1" applyAlignment="1">
      <alignment horizontal="right"/>
    </xf>
    <xf numFmtId="44" fontId="4" fillId="4" borderId="0" xfId="0" applyNumberFormat="1" applyFont="1" applyFill="1"/>
    <xf numFmtId="44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vertical="center"/>
    </xf>
    <xf numFmtId="4" fontId="9" fillId="0" borderId="12" xfId="1" applyNumberFormat="1" applyFont="1" applyFill="1" applyBorder="1" applyAlignment="1">
      <alignment horizontal="center" vertical="center"/>
    </xf>
    <xf numFmtId="44" fontId="7" fillId="0" borderId="0" xfId="0" applyNumberFormat="1" applyFont="1"/>
    <xf numFmtId="4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right"/>
    </xf>
    <xf numFmtId="44" fontId="4" fillId="0" borderId="0" xfId="6" applyFont="1" applyFill="1" applyBorder="1"/>
    <xf numFmtId="4" fontId="4" fillId="0" borderId="0" xfId="0" applyNumberFormat="1" applyFont="1"/>
    <xf numFmtId="44" fontId="4" fillId="0" borderId="0" xfId="6" applyFont="1" applyFill="1"/>
    <xf numFmtId="167" fontId="10" fillId="2" borderId="0" xfId="0" applyNumberFormat="1" applyFont="1" applyFill="1"/>
    <xf numFmtId="44" fontId="8" fillId="2" borderId="0" xfId="2" applyNumberFormat="1" applyFont="1" applyFill="1" applyBorder="1" applyAlignment="1" applyProtection="1">
      <alignment vertical="center" shrinkToFit="1"/>
    </xf>
    <xf numFmtId="166" fontId="7" fillId="0" borderId="0" xfId="6" applyNumberFormat="1" applyFont="1" applyFill="1" applyBorder="1"/>
    <xf numFmtId="166" fontId="4" fillId="0" borderId="0" xfId="0" applyNumberFormat="1" applyFont="1"/>
    <xf numFmtId="0" fontId="12" fillId="0" borderId="0" xfId="0" applyFont="1" applyAlignment="1">
      <alignment horizontal="left" vertical="top"/>
    </xf>
    <xf numFmtId="0" fontId="13" fillId="2" borderId="0" xfId="7" applyFont="1" applyFill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3" fillId="2" borderId="0" xfId="7" applyFont="1" applyFill="1" applyAlignment="1">
      <alignment horizontal="left" vertical="center"/>
    </xf>
    <xf numFmtId="168" fontId="13" fillId="2" borderId="0" xfId="8" applyFont="1" applyFill="1" applyBorder="1" applyAlignment="1">
      <alignment horizontal="center" vertical="center"/>
    </xf>
    <xf numFmtId="0" fontId="12" fillId="2" borderId="0" xfId="9" applyFont="1" applyFill="1" applyAlignment="1">
      <alignment horizontal="left" vertical="top"/>
    </xf>
    <xf numFmtId="0" fontId="15" fillId="2" borderId="0" xfId="9" applyFont="1" applyFill="1" applyAlignment="1">
      <alignment vertical="top"/>
    </xf>
    <xf numFmtId="0" fontId="15" fillId="2" borderId="0" xfId="9" applyFont="1" applyFill="1" applyAlignment="1">
      <alignment horizontal="left" vertical="top"/>
    </xf>
    <xf numFmtId="0" fontId="16" fillId="2" borderId="0" xfId="9" applyFont="1" applyFill="1"/>
    <xf numFmtId="0" fontId="18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right" vertical="center"/>
    </xf>
    <xf numFmtId="0" fontId="19" fillId="2" borderId="0" xfId="9" applyFont="1" applyFill="1" applyAlignment="1">
      <alignment vertical="center"/>
    </xf>
    <xf numFmtId="0" fontId="19" fillId="2" borderId="0" xfId="9" applyFont="1" applyFill="1" applyAlignment="1">
      <alignment horizontal="center" vertical="center"/>
    </xf>
    <xf numFmtId="0" fontId="16" fillId="0" borderId="0" xfId="9" applyFont="1"/>
    <xf numFmtId="0" fontId="22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2" fillId="0" borderId="0" xfId="0" applyFont="1"/>
    <xf numFmtId="4" fontId="22" fillId="0" borderId="0" xfId="0" applyNumberFormat="1" applyFont="1" applyAlignment="1">
      <alignment horizontal="center"/>
    </xf>
    <xf numFmtId="44" fontId="22" fillId="0" borderId="0" xfId="0" applyNumberFormat="1" applyFont="1"/>
    <xf numFmtId="44" fontId="22" fillId="0" borderId="0" xfId="6" applyFont="1" applyFill="1" applyBorder="1"/>
    <xf numFmtId="166" fontId="22" fillId="0" borderId="0" xfId="0" applyNumberFormat="1" applyFont="1"/>
    <xf numFmtId="44" fontId="22" fillId="0" borderId="0" xfId="6" applyFont="1" applyFill="1"/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44" fontId="23" fillId="2" borderId="0" xfId="6" applyFont="1" applyFill="1" applyAlignment="1">
      <alignment vertical="center"/>
    </xf>
    <xf numFmtId="0" fontId="23" fillId="2" borderId="0" xfId="0" applyFont="1" applyFill="1"/>
    <xf numFmtId="166" fontId="26" fillId="0" borderId="13" xfId="0" applyNumberFormat="1" applyFont="1" applyBorder="1" applyAlignment="1">
      <alignment horizontal="right" vertical="center"/>
    </xf>
    <xf numFmtId="166" fontId="26" fillId="0" borderId="14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4" fontId="26" fillId="0" borderId="2" xfId="0" applyNumberFormat="1" applyFont="1" applyBorder="1" applyAlignment="1">
      <alignment horizontal="center" vertical="center"/>
    </xf>
    <xf numFmtId="44" fontId="25" fillId="0" borderId="2" xfId="0" applyNumberFormat="1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4" fontId="26" fillId="0" borderId="2" xfId="0" applyNumberFormat="1" applyFont="1" applyBorder="1" applyAlignment="1">
      <alignment horizontal="right" vertical="center"/>
    </xf>
    <xf numFmtId="44" fontId="26" fillId="0" borderId="2" xfId="0" applyNumberFormat="1" applyFont="1" applyBorder="1" applyAlignment="1">
      <alignment vertical="center"/>
    </xf>
    <xf numFmtId="44" fontId="26" fillId="0" borderId="2" xfId="6" applyFont="1" applyBorder="1" applyAlignment="1">
      <alignment horizontal="right" vertical="center"/>
    </xf>
    <xf numFmtId="166" fontId="26" fillId="0" borderId="15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horizontal="center" vertical="center"/>
    </xf>
    <xf numFmtId="44" fontId="25" fillId="0" borderId="0" xfId="0" applyNumberFormat="1" applyFont="1" applyAlignment="1">
      <alignment vertical="center"/>
    </xf>
    <xf numFmtId="4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/>
    </xf>
    <xf numFmtId="44" fontId="25" fillId="0" borderId="0" xfId="0" applyNumberFormat="1" applyFont="1" applyAlignment="1">
      <alignment horizontal="center" vertical="center"/>
    </xf>
    <xf numFmtId="44" fontId="25" fillId="0" borderId="0" xfId="0" applyNumberFormat="1" applyFont="1" applyAlignment="1">
      <alignment horizontal="right" vertical="top"/>
    </xf>
    <xf numFmtId="44" fontId="25" fillId="0" borderId="0" xfId="6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4" fontId="25" fillId="0" borderId="16" xfId="6" applyFont="1" applyFill="1" applyBorder="1" applyAlignment="1">
      <alignment vertical="center"/>
    </xf>
    <xf numFmtId="4" fontId="25" fillId="0" borderId="16" xfId="6" applyNumberFormat="1" applyFont="1" applyFill="1" applyBorder="1" applyAlignment="1">
      <alignment horizontal="center" vertical="center"/>
    </xf>
    <xf numFmtId="44" fontId="25" fillId="0" borderId="16" xfId="6" applyFont="1" applyFill="1" applyBorder="1" applyAlignment="1">
      <alignment horizontal="right" vertical="center"/>
    </xf>
    <xf numFmtId="0" fontId="25" fillId="0" borderId="16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4" fontId="26" fillId="0" borderId="11" xfId="0" applyNumberFormat="1" applyFont="1" applyBorder="1" applyAlignment="1">
      <alignment vertical="center"/>
    </xf>
    <xf numFmtId="4" fontId="26" fillId="0" borderId="11" xfId="0" applyNumberFormat="1" applyFont="1" applyBorder="1" applyAlignment="1">
      <alignment horizontal="center" vertical="center"/>
    </xf>
    <xf numFmtId="44" fontId="25" fillId="0" borderId="11" xfId="0" applyNumberFormat="1" applyFont="1" applyBorder="1" applyAlignment="1">
      <alignment horizontal="center" vertical="center"/>
    </xf>
    <xf numFmtId="44" fontId="26" fillId="0" borderId="11" xfId="0" applyNumberFormat="1" applyFont="1" applyBorder="1" applyAlignment="1">
      <alignment vertical="center"/>
    </xf>
    <xf numFmtId="4" fontId="25" fillId="0" borderId="11" xfId="0" applyNumberFormat="1" applyFont="1" applyBorder="1" applyAlignment="1">
      <alignment horizontal="center" vertical="center"/>
    </xf>
    <xf numFmtId="44" fontId="25" fillId="0" borderId="11" xfId="0" applyNumberFormat="1" applyFont="1" applyBorder="1" applyAlignment="1">
      <alignment horizontal="right" vertical="center"/>
    </xf>
    <xf numFmtId="44" fontId="25" fillId="0" borderId="18" xfId="0" applyNumberFormat="1" applyFont="1" applyBorder="1" applyAlignment="1">
      <alignment horizontal="right" vertical="center"/>
    </xf>
    <xf numFmtId="4" fontId="26" fillId="2" borderId="11" xfId="0" applyNumberFormat="1" applyFont="1" applyFill="1" applyBorder="1" applyAlignment="1">
      <alignment vertical="center"/>
    </xf>
    <xf numFmtId="44" fontId="26" fillId="2" borderId="11" xfId="0" applyNumberFormat="1" applyFont="1" applyFill="1" applyBorder="1" applyAlignment="1">
      <alignment vertical="center"/>
    </xf>
    <xf numFmtId="44" fontId="26" fillId="0" borderId="11" xfId="6" applyFont="1" applyBorder="1" applyAlignment="1">
      <alignment vertical="center"/>
    </xf>
    <xf numFmtId="166" fontId="26" fillId="0" borderId="9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right" vertical="center" wrapText="1"/>
    </xf>
    <xf numFmtId="4" fontId="25" fillId="2" borderId="3" xfId="0" applyNumberFormat="1" applyFont="1" applyFill="1" applyBorder="1" applyAlignment="1">
      <alignment horizontal="center" vertical="center" wrapText="1"/>
    </xf>
    <xf numFmtId="44" fontId="25" fillId="2" borderId="3" xfId="0" applyNumberFormat="1" applyFont="1" applyFill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 wrapText="1"/>
    </xf>
    <xf numFmtId="44" fontId="25" fillId="0" borderId="3" xfId="6" applyFont="1" applyBorder="1" applyAlignment="1">
      <alignment horizontal="center" vertical="center"/>
    </xf>
    <xf numFmtId="166" fontId="25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shrinkToFit="1"/>
    </xf>
    <xf numFmtId="4" fontId="26" fillId="0" borderId="3" xfId="0" applyNumberFormat="1" applyFont="1" applyBorder="1" applyAlignment="1">
      <alignment horizontal="center" vertical="center"/>
    </xf>
    <xf numFmtId="44" fontId="26" fillId="0" borderId="3" xfId="0" applyNumberFormat="1" applyFont="1" applyBorder="1" applyAlignment="1">
      <alignment vertical="center"/>
    </xf>
    <xf numFmtId="44" fontId="26" fillId="0" borderId="3" xfId="0" applyNumberFormat="1" applyFont="1" applyBorder="1" applyAlignment="1">
      <alignment horizontal="right" vertical="center"/>
    </xf>
    <xf numFmtId="4" fontId="26" fillId="2" borderId="3" xfId="0" applyNumberFormat="1" applyFont="1" applyFill="1" applyBorder="1" applyAlignment="1">
      <alignment vertical="center"/>
    </xf>
    <xf numFmtId="44" fontId="26" fillId="2" borderId="3" xfId="0" applyNumberFormat="1" applyFont="1" applyFill="1" applyBorder="1" applyAlignment="1">
      <alignment vertical="center"/>
    </xf>
    <xf numFmtId="44" fontId="26" fillId="0" borderId="3" xfId="6" applyFont="1" applyBorder="1" applyAlignment="1">
      <alignment vertical="center"/>
    </xf>
    <xf numFmtId="166" fontId="26" fillId="0" borderId="3" xfId="0" applyNumberFormat="1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justify" vertical="center" wrapText="1"/>
    </xf>
    <xf numFmtId="0" fontId="26" fillId="2" borderId="3" xfId="0" applyFont="1" applyFill="1" applyBorder="1" applyAlignment="1">
      <alignment horizontal="center" vertical="center"/>
    </xf>
    <xf numFmtId="4" fontId="26" fillId="2" borderId="3" xfId="1" applyNumberFormat="1" applyFont="1" applyFill="1" applyBorder="1" applyAlignment="1">
      <alignment horizontal="center" vertical="center"/>
    </xf>
    <xf numFmtId="44" fontId="26" fillId="2" borderId="3" xfId="1" quotePrefix="1" applyNumberFormat="1" applyFont="1" applyFill="1" applyBorder="1" applyAlignment="1">
      <alignment horizontal="right" vertical="center"/>
    </xf>
    <xf numFmtId="4" fontId="26" fillId="2" borderId="3" xfId="2" applyNumberFormat="1" applyFont="1" applyFill="1" applyBorder="1" applyAlignment="1" applyProtection="1">
      <alignment horizontal="center" vertical="center" shrinkToFit="1"/>
    </xf>
    <xf numFmtId="44" fontId="26" fillId="2" borderId="3" xfId="0" applyNumberFormat="1" applyFont="1" applyFill="1" applyBorder="1" applyAlignment="1">
      <alignment horizontal="right" vertical="center"/>
    </xf>
    <xf numFmtId="2" fontId="26" fillId="2" borderId="3" xfId="0" applyNumberFormat="1" applyFont="1" applyFill="1" applyBorder="1" applyAlignment="1">
      <alignment horizontal="right" vertical="center"/>
    </xf>
    <xf numFmtId="4" fontId="26" fillId="2" borderId="8" xfId="0" applyNumberFormat="1" applyFont="1" applyFill="1" applyBorder="1" applyAlignment="1">
      <alignment horizontal="center" vertical="center"/>
    </xf>
    <xf numFmtId="2" fontId="26" fillId="2" borderId="3" xfId="0" applyNumberFormat="1" applyFont="1" applyFill="1" applyBorder="1" applyAlignment="1">
      <alignment horizontal="center" vertical="center"/>
    </xf>
    <xf numFmtId="44" fontId="26" fillId="2" borderId="3" xfId="6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vertical="center"/>
    </xf>
    <xf numFmtId="0" fontId="28" fillId="0" borderId="3" xfId="0" applyFont="1" applyBorder="1" applyAlignment="1">
      <alignment horizontal="justify" vertical="center"/>
    </xf>
    <xf numFmtId="0" fontId="25" fillId="4" borderId="9" xfId="0" applyFont="1" applyFill="1" applyBorder="1" applyAlignment="1">
      <alignment vertical="center"/>
    </xf>
    <xf numFmtId="44" fontId="25" fillId="4" borderId="3" xfId="0" applyNumberFormat="1" applyFont="1" applyFill="1" applyBorder="1" applyAlignment="1">
      <alignment vertical="center"/>
    </xf>
    <xf numFmtId="4" fontId="25" fillId="4" borderId="3" xfId="2" applyNumberFormat="1" applyFont="1" applyFill="1" applyBorder="1" applyAlignment="1" applyProtection="1">
      <alignment horizontal="center" vertical="center" shrinkToFit="1"/>
    </xf>
    <xf numFmtId="44" fontId="25" fillId="4" borderId="3" xfId="0" applyNumberFormat="1" applyFont="1" applyFill="1" applyBorder="1" applyAlignment="1">
      <alignment horizontal="right" vertical="center"/>
    </xf>
    <xf numFmtId="2" fontId="25" fillId="4" borderId="3" xfId="0" applyNumberFormat="1" applyFont="1" applyFill="1" applyBorder="1" applyAlignment="1">
      <alignment horizontal="right" vertical="center"/>
    </xf>
    <xf numFmtId="4" fontId="26" fillId="4" borderId="3" xfId="0" applyNumberFormat="1" applyFont="1" applyFill="1" applyBorder="1" applyAlignment="1">
      <alignment vertical="center"/>
    </xf>
    <xf numFmtId="2" fontId="26" fillId="4" borderId="3" xfId="0" applyNumberFormat="1" applyFont="1" applyFill="1" applyBorder="1" applyAlignment="1">
      <alignment horizontal="center" vertical="center"/>
    </xf>
    <xf numFmtId="44" fontId="25" fillId="4" borderId="3" xfId="6" applyFont="1" applyFill="1" applyBorder="1" applyAlignment="1">
      <alignment vertical="center"/>
    </xf>
    <xf numFmtId="166" fontId="26" fillId="4" borderId="1" xfId="0" applyNumberFormat="1" applyFont="1" applyFill="1" applyBorder="1" applyAlignment="1">
      <alignment vertical="center"/>
    </xf>
    <xf numFmtId="0" fontId="25" fillId="3" borderId="19" xfId="0" applyFont="1" applyFill="1" applyBorder="1" applyAlignment="1">
      <alignment vertical="center" wrapText="1"/>
    </xf>
    <xf numFmtId="0" fontId="25" fillId="3" borderId="18" xfId="0" applyFont="1" applyFill="1" applyBorder="1" applyAlignment="1">
      <alignment vertical="center" wrapText="1"/>
    </xf>
    <xf numFmtId="4" fontId="25" fillId="3" borderId="18" xfId="0" applyNumberFormat="1" applyFont="1" applyFill="1" applyBorder="1" applyAlignment="1">
      <alignment horizontal="center" vertical="center" wrapText="1"/>
    </xf>
    <xf numFmtId="44" fontId="25" fillId="3" borderId="18" xfId="0" applyNumberFormat="1" applyFont="1" applyFill="1" applyBorder="1" applyAlignment="1">
      <alignment vertical="center" wrapText="1"/>
    </xf>
    <xf numFmtId="44" fontId="25" fillId="3" borderId="18" xfId="0" applyNumberFormat="1" applyFont="1" applyFill="1" applyBorder="1" applyAlignment="1">
      <alignment horizontal="right" vertical="center" wrapText="1"/>
    </xf>
    <xf numFmtId="2" fontId="25" fillId="3" borderId="18" xfId="0" applyNumberFormat="1" applyFont="1" applyFill="1" applyBorder="1" applyAlignment="1">
      <alignment horizontal="right" vertical="center" wrapText="1"/>
    </xf>
    <xf numFmtId="44" fontId="25" fillId="3" borderId="18" xfId="6" applyFont="1" applyFill="1" applyBorder="1" applyAlignment="1">
      <alignment vertical="center" wrapText="1"/>
    </xf>
    <xf numFmtId="166" fontId="25" fillId="3" borderId="9" xfId="0" applyNumberFormat="1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39" fontId="28" fillId="0" borderId="3" xfId="1" applyFont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166" fontId="26" fillId="3" borderId="1" xfId="0" applyNumberFormat="1" applyFont="1" applyFill="1" applyBorder="1" applyAlignment="1">
      <alignment vertical="center"/>
    </xf>
    <xf numFmtId="166" fontId="26" fillId="3" borderId="3" xfId="0" applyNumberFormat="1" applyFont="1" applyFill="1" applyBorder="1" applyAlignment="1">
      <alignment vertical="center"/>
    </xf>
    <xf numFmtId="44" fontId="25" fillId="4" borderId="9" xfId="0" applyNumberFormat="1" applyFont="1" applyFill="1" applyBorder="1" applyAlignment="1">
      <alignment vertical="center"/>
    </xf>
    <xf numFmtId="4" fontId="25" fillId="4" borderId="3" xfId="0" applyNumberFormat="1" applyFont="1" applyFill="1" applyBorder="1" applyAlignment="1">
      <alignment vertical="center"/>
    </xf>
    <xf numFmtId="44" fontId="28" fillId="0" borderId="3" xfId="1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4" fontId="26" fillId="2" borderId="3" xfId="1" applyNumberFormat="1" applyFont="1" applyFill="1" applyBorder="1" applyAlignment="1">
      <alignment horizontal="center" vertical="center" wrapText="1"/>
    </xf>
    <xf numFmtId="44" fontId="26" fillId="4" borderId="3" xfId="0" applyNumberFormat="1" applyFont="1" applyFill="1" applyBorder="1" applyAlignment="1">
      <alignment vertical="center"/>
    </xf>
    <xf numFmtId="44" fontId="25" fillId="4" borderId="3" xfId="0" applyNumberFormat="1" applyFont="1" applyFill="1" applyBorder="1" applyAlignment="1">
      <alignment horizontal="center" vertical="center"/>
    </xf>
    <xf numFmtId="44" fontId="26" fillId="2" borderId="3" xfId="0" applyNumberFormat="1" applyFont="1" applyFill="1" applyBorder="1" applyAlignment="1">
      <alignment horizontal="left" vertical="center"/>
    </xf>
    <xf numFmtId="44" fontId="26" fillId="2" borderId="9" xfId="1" quotePrefix="1" applyNumberFormat="1" applyFont="1" applyFill="1" applyBorder="1" applyAlignment="1">
      <alignment horizontal="right" vertical="center"/>
    </xf>
    <xf numFmtId="44" fontId="25" fillId="4" borderId="18" xfId="0" applyNumberFormat="1" applyFont="1" applyFill="1" applyBorder="1" applyAlignment="1">
      <alignment vertical="center" wrapText="1"/>
    </xf>
    <xf numFmtId="44" fontId="25" fillId="4" borderId="3" xfId="0" applyNumberFormat="1" applyFont="1" applyFill="1" applyBorder="1" applyAlignment="1">
      <alignment vertical="center" wrapText="1"/>
    </xf>
    <xf numFmtId="4" fontId="25" fillId="4" borderId="3" xfId="0" applyNumberFormat="1" applyFont="1" applyFill="1" applyBorder="1" applyAlignment="1">
      <alignment horizontal="center" vertical="center" wrapText="1"/>
    </xf>
    <xf numFmtId="44" fontId="25" fillId="4" borderId="3" xfId="0" applyNumberFormat="1" applyFont="1" applyFill="1" applyBorder="1" applyAlignment="1">
      <alignment horizontal="right" vertical="center" wrapText="1"/>
    </xf>
    <xf numFmtId="2" fontId="25" fillId="4" borderId="3" xfId="0" applyNumberFormat="1" applyFont="1" applyFill="1" applyBorder="1" applyAlignment="1">
      <alignment horizontal="right" vertical="center" wrapText="1"/>
    </xf>
    <xf numFmtId="0" fontId="25" fillId="4" borderId="3" xfId="0" applyFont="1" applyFill="1" applyBorder="1" applyAlignment="1">
      <alignment vertical="center" wrapText="1"/>
    </xf>
    <xf numFmtId="0" fontId="25" fillId="4" borderId="3" xfId="0" applyFont="1" applyFill="1" applyBorder="1" applyAlignment="1">
      <alignment horizontal="center" vertical="center" wrapText="1"/>
    </xf>
    <xf numFmtId="44" fontId="25" fillId="4" borderId="3" xfId="6" applyFont="1" applyFill="1" applyBorder="1" applyAlignment="1">
      <alignment vertical="center" wrapText="1"/>
    </xf>
    <xf numFmtId="166" fontId="25" fillId="4" borderId="3" xfId="0" applyNumberFormat="1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left" vertical="center" wrapText="1"/>
    </xf>
    <xf numFmtId="44" fontId="26" fillId="2" borderId="9" xfId="0" applyNumberFormat="1" applyFont="1" applyFill="1" applyBorder="1" applyAlignment="1">
      <alignment vertical="center"/>
    </xf>
    <xf numFmtId="0" fontId="26" fillId="2" borderId="3" xfId="4" applyFont="1" applyFill="1" applyBorder="1" applyAlignment="1">
      <alignment horizontal="center" vertical="center"/>
    </xf>
    <xf numFmtId="4" fontId="26" fillId="2" borderId="3" xfId="4" applyNumberFormat="1" applyFont="1" applyFill="1" applyBorder="1" applyAlignment="1">
      <alignment horizontal="center" vertical="center"/>
    </xf>
    <xf numFmtId="4" fontId="26" fillId="2" borderId="3" xfId="5" applyNumberFormat="1" applyFont="1" applyFill="1" applyBorder="1" applyAlignment="1">
      <alignment horizontal="center" vertical="center"/>
    </xf>
    <xf numFmtId="166" fontId="25" fillId="4" borderId="9" xfId="0" applyNumberFormat="1" applyFont="1" applyFill="1" applyBorder="1" applyAlignment="1">
      <alignment vertical="center" wrapText="1"/>
    </xf>
    <xf numFmtId="0" fontId="25" fillId="2" borderId="18" xfId="0" applyFont="1" applyFill="1" applyBorder="1" applyAlignment="1">
      <alignment horizontal="center" vertical="center" wrapText="1"/>
    </xf>
    <xf numFmtId="44" fontId="25" fillId="2" borderId="18" xfId="0" applyNumberFormat="1" applyFont="1" applyFill="1" applyBorder="1" applyAlignment="1">
      <alignment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44" fontId="25" fillId="2" borderId="18" xfId="0" applyNumberFormat="1" applyFont="1" applyFill="1" applyBorder="1" applyAlignment="1">
      <alignment horizontal="right" vertical="center" wrapText="1"/>
    </xf>
    <xf numFmtId="2" fontId="25" fillId="2" borderId="18" xfId="0" applyNumberFormat="1" applyFont="1" applyFill="1" applyBorder="1" applyAlignment="1">
      <alignment horizontal="right" vertical="center" wrapText="1"/>
    </xf>
    <xf numFmtId="0" fontId="25" fillId="2" borderId="18" xfId="0" applyFont="1" applyFill="1" applyBorder="1" applyAlignment="1">
      <alignment vertical="center" wrapText="1"/>
    </xf>
    <xf numFmtId="10" fontId="26" fillId="2" borderId="3" xfId="2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/>
    </xf>
    <xf numFmtId="4" fontId="29" fillId="2" borderId="6" xfId="1" applyNumberFormat="1" applyFont="1" applyFill="1" applyBorder="1" applyAlignment="1">
      <alignment horizontal="center" vertical="center"/>
    </xf>
    <xf numFmtId="44" fontId="25" fillId="2" borderId="7" xfId="0" applyNumberFormat="1" applyFont="1" applyFill="1" applyBorder="1" applyAlignment="1">
      <alignment horizontal="right"/>
    </xf>
    <xf numFmtId="44" fontId="25" fillId="2" borderId="10" xfId="0" applyNumberFormat="1" applyFont="1" applyFill="1" applyBorder="1" applyAlignment="1">
      <alignment horizontal="right"/>
    </xf>
    <xf numFmtId="0" fontId="26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/>
    </xf>
    <xf numFmtId="4" fontId="26" fillId="2" borderId="8" xfId="0" applyNumberFormat="1" applyFont="1" applyFill="1" applyBorder="1" applyAlignment="1">
      <alignment vertical="center"/>
    </xf>
    <xf numFmtId="4" fontId="29" fillId="2" borderId="9" xfId="1" applyNumberFormat="1" applyFont="1" applyFill="1" applyBorder="1" applyAlignment="1">
      <alignment horizontal="center" vertical="center"/>
    </xf>
    <xf numFmtId="44" fontId="25" fillId="2" borderId="8" xfId="0" applyNumberFormat="1" applyFont="1" applyFill="1" applyBorder="1" applyAlignment="1">
      <alignment horizontal="right"/>
    </xf>
    <xf numFmtId="44" fontId="25" fillId="2" borderId="20" xfId="0" applyNumberFormat="1" applyFont="1" applyFill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shrinkToFit="1"/>
    </xf>
    <xf numFmtId="0" fontId="26" fillId="0" borderId="18" xfId="0" applyFont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4" fontId="25" fillId="4" borderId="19" xfId="6" applyFont="1" applyFill="1" applyBorder="1" applyAlignment="1">
      <alignment vertical="center" wrapText="1"/>
    </xf>
    <xf numFmtId="44" fontId="25" fillId="4" borderId="18" xfId="6" applyFont="1" applyFill="1" applyBorder="1" applyAlignment="1">
      <alignment vertical="center" wrapText="1"/>
    </xf>
    <xf numFmtId="44" fontId="25" fillId="4" borderId="18" xfId="6" applyFont="1" applyFill="1" applyBorder="1" applyAlignment="1">
      <alignment vertical="center"/>
    </xf>
    <xf numFmtId="0" fontId="25" fillId="4" borderId="18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horizontal="right" vertical="center"/>
    </xf>
    <xf numFmtId="2" fontId="8" fillId="4" borderId="3" xfId="0" applyNumberFormat="1" applyFont="1" applyFill="1" applyBorder="1" applyAlignment="1">
      <alignment horizontal="center" vertical="center"/>
    </xf>
    <xf numFmtId="44" fontId="7" fillId="4" borderId="3" xfId="6" applyFont="1" applyFill="1" applyBorder="1" applyAlignment="1">
      <alignment vertical="center"/>
    </xf>
    <xf numFmtId="166" fontId="23" fillId="4" borderId="22" xfId="0" applyNumberFormat="1" applyFont="1" applyFill="1" applyBorder="1" applyAlignment="1">
      <alignment vertical="center"/>
    </xf>
    <xf numFmtId="2" fontId="26" fillId="0" borderId="2" xfId="0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 vertical="center"/>
    </xf>
    <xf numFmtId="2" fontId="25" fillId="3" borderId="18" xfId="0" applyNumberFormat="1" applyFont="1" applyFill="1" applyBorder="1" applyAlignment="1">
      <alignment horizontal="center" vertical="center" wrapText="1"/>
    </xf>
    <xf numFmtId="2" fontId="25" fillId="4" borderId="3" xfId="0" applyNumberFormat="1" applyFont="1" applyFill="1" applyBorder="1" applyAlignment="1">
      <alignment vertical="center"/>
    </xf>
    <xf numFmtId="2" fontId="25" fillId="4" borderId="3" xfId="0" applyNumberFormat="1" applyFont="1" applyFill="1" applyBorder="1" applyAlignment="1">
      <alignment horizontal="center" vertical="center" wrapText="1"/>
    </xf>
    <xf numFmtId="2" fontId="25" fillId="4" borderId="3" xfId="6" applyNumberFormat="1" applyFont="1" applyFill="1" applyBorder="1" applyAlignment="1">
      <alignment vertical="center" wrapText="1"/>
    </xf>
    <xf numFmtId="2" fontId="25" fillId="4" borderId="9" xfId="6" applyNumberFormat="1" applyFont="1" applyFill="1" applyBorder="1" applyAlignment="1">
      <alignment vertical="center" wrapText="1"/>
    </xf>
    <xf numFmtId="2" fontId="23" fillId="0" borderId="0" xfId="0" applyNumberFormat="1" applyFont="1" applyAlignment="1">
      <alignment vertical="center"/>
    </xf>
    <xf numFmtId="2" fontId="25" fillId="2" borderId="7" xfId="0" applyNumberFormat="1" applyFont="1" applyFill="1" applyBorder="1" applyAlignment="1">
      <alignment horizontal="center"/>
    </xf>
    <xf numFmtId="2" fontId="25" fillId="2" borderId="8" xfId="0" applyNumberFormat="1" applyFont="1" applyFill="1" applyBorder="1" applyAlignment="1">
      <alignment horizontal="center"/>
    </xf>
    <xf numFmtId="2" fontId="25" fillId="2" borderId="10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10" fontId="8" fillId="2" borderId="3" xfId="0" applyNumberFormat="1" applyFont="1" applyFill="1" applyBorder="1" applyAlignment="1">
      <alignment vertical="center"/>
    </xf>
    <xf numFmtId="10" fontId="31" fillId="2" borderId="8" xfId="0" applyNumberFormat="1" applyFont="1" applyFill="1" applyBorder="1"/>
    <xf numFmtId="44" fontId="23" fillId="0" borderId="0" xfId="6" applyFont="1" applyAlignment="1">
      <alignment vertical="center"/>
    </xf>
    <xf numFmtId="44" fontId="23" fillId="0" borderId="0" xfId="6" applyFont="1" applyAlignment="1">
      <alignment horizontal="center" vertical="center"/>
    </xf>
    <xf numFmtId="2" fontId="26" fillId="0" borderId="3" xfId="0" applyNumberFormat="1" applyFont="1" applyBorder="1" applyAlignment="1">
      <alignment horizontal="right" vertical="center"/>
    </xf>
    <xf numFmtId="2" fontId="25" fillId="0" borderId="18" xfId="0" applyNumberFormat="1" applyFont="1" applyBorder="1" applyAlignment="1">
      <alignment horizontal="right" vertical="center" wrapText="1"/>
    </xf>
    <xf numFmtId="165" fontId="25" fillId="4" borderId="3" xfId="0" applyNumberFormat="1" applyFont="1" applyFill="1" applyBorder="1" applyAlignment="1">
      <alignment horizontal="right" vertical="center" wrapText="1"/>
    </xf>
    <xf numFmtId="4" fontId="26" fillId="0" borderId="3" xfId="1" applyNumberFormat="1" applyFont="1" applyFill="1" applyBorder="1" applyAlignment="1">
      <alignment horizontal="center" vertical="center"/>
    </xf>
    <xf numFmtId="44" fontId="28" fillId="0" borderId="3" xfId="1" applyNumberFormat="1" applyFont="1" applyFill="1" applyBorder="1" applyAlignment="1">
      <alignment horizontal="center" vertical="center"/>
    </xf>
    <xf numFmtId="44" fontId="26" fillId="0" borderId="3" xfId="6" applyFont="1" applyFill="1" applyBorder="1" applyAlignment="1">
      <alignment vertical="center"/>
    </xf>
    <xf numFmtId="166" fontId="26" fillId="0" borderId="1" xfId="0" applyNumberFormat="1" applyFont="1" applyBorder="1" applyAlignment="1">
      <alignment vertical="center"/>
    </xf>
    <xf numFmtId="39" fontId="28" fillId="0" borderId="3" xfId="1" applyFont="1" applyFill="1" applyBorder="1" applyAlignment="1">
      <alignment horizontal="center" vertical="center"/>
    </xf>
    <xf numFmtId="44" fontId="26" fillId="0" borderId="3" xfId="1" quotePrefix="1" applyNumberFormat="1" applyFont="1" applyFill="1" applyBorder="1" applyAlignment="1">
      <alignment horizontal="right" vertical="center"/>
    </xf>
    <xf numFmtId="10" fontId="8" fillId="4" borderId="3" xfId="0" applyNumberFormat="1" applyFont="1" applyFill="1" applyBorder="1" applyAlignment="1">
      <alignment vertical="center"/>
    </xf>
    <xf numFmtId="0" fontId="25" fillId="4" borderId="18" xfId="0" applyFont="1" applyFill="1" applyBorder="1" applyAlignment="1">
      <alignment vertical="center" wrapText="1"/>
    </xf>
    <xf numFmtId="44" fontId="26" fillId="4" borderId="3" xfId="0" applyNumberFormat="1" applyFont="1" applyFill="1" applyBorder="1" applyAlignment="1">
      <alignment horizontal="right" vertical="center"/>
    </xf>
    <xf numFmtId="44" fontId="25" fillId="4" borderId="10" xfId="0" applyNumberFormat="1" applyFont="1" applyFill="1" applyBorder="1" applyAlignment="1">
      <alignment horizontal="right"/>
    </xf>
    <xf numFmtId="44" fontId="25" fillId="4" borderId="7" xfId="0" applyNumberFormat="1" applyFont="1" applyFill="1" applyBorder="1" applyAlignment="1">
      <alignment horizontal="right"/>
    </xf>
    <xf numFmtId="44" fontId="25" fillId="4" borderId="20" xfId="0" applyNumberFormat="1" applyFont="1" applyFill="1" applyBorder="1" applyAlignment="1">
      <alignment horizontal="right"/>
    </xf>
    <xf numFmtId="44" fontId="25" fillId="4" borderId="8" xfId="0" applyNumberFormat="1" applyFont="1" applyFill="1" applyBorder="1" applyAlignment="1">
      <alignment horizontal="right"/>
    </xf>
    <xf numFmtId="44" fontId="25" fillId="0" borderId="10" xfId="0" applyNumberFormat="1" applyFont="1" applyBorder="1" applyAlignment="1">
      <alignment horizontal="right"/>
    </xf>
    <xf numFmtId="44" fontId="25" fillId="0" borderId="7" xfId="0" applyNumberFormat="1" applyFont="1" applyBorder="1" applyAlignment="1">
      <alignment horizontal="right"/>
    </xf>
    <xf numFmtId="44" fontId="25" fillId="0" borderId="20" xfId="0" applyNumberFormat="1" applyFont="1" applyBorder="1" applyAlignment="1">
      <alignment horizontal="right"/>
    </xf>
    <xf numFmtId="44" fontId="25" fillId="0" borderId="8" xfId="0" applyNumberFormat="1" applyFont="1" applyBorder="1" applyAlignment="1">
      <alignment horizontal="right"/>
    </xf>
    <xf numFmtId="44" fontId="25" fillId="0" borderId="3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vertical="center"/>
    </xf>
    <xf numFmtId="4" fontId="26" fillId="5" borderId="8" xfId="0" applyNumberFormat="1" applyFont="1" applyFill="1" applyBorder="1" applyAlignment="1">
      <alignment horizontal="center" vertical="center"/>
    </xf>
    <xf numFmtId="44" fontId="26" fillId="5" borderId="3" xfId="0" applyNumberFormat="1" applyFont="1" applyFill="1" applyBorder="1" applyAlignment="1">
      <alignment horizontal="right" vertical="center"/>
    </xf>
    <xf numFmtId="4" fontId="26" fillId="5" borderId="3" xfId="0" applyNumberFormat="1" applyFont="1" applyFill="1" applyBorder="1" applyAlignment="1">
      <alignment horizontal="center" vertical="center"/>
    </xf>
    <xf numFmtId="165" fontId="23" fillId="2" borderId="0" xfId="6" applyNumberFormat="1" applyFont="1" applyFill="1" applyAlignment="1">
      <alignment vertical="center"/>
    </xf>
    <xf numFmtId="44" fontId="26" fillId="2" borderId="18" xfId="0" applyNumberFormat="1" applyFont="1" applyFill="1" applyBorder="1" applyAlignment="1">
      <alignment vertical="center"/>
    </xf>
    <xf numFmtId="44" fontId="25" fillId="2" borderId="20" xfId="0" applyNumberFormat="1" applyFont="1" applyFill="1" applyBorder="1" applyAlignment="1">
      <alignment horizontal="center" vertical="center"/>
    </xf>
    <xf numFmtId="44" fontId="26" fillId="2" borderId="20" xfId="0" applyNumberFormat="1" applyFont="1" applyFill="1" applyBorder="1" applyAlignment="1">
      <alignment vertical="center"/>
    </xf>
    <xf numFmtId="44" fontId="26" fillId="2" borderId="20" xfId="0" applyNumberFormat="1" applyFont="1" applyFill="1" applyBorder="1" applyAlignment="1">
      <alignment horizontal="right" vertical="center"/>
    </xf>
    <xf numFmtId="44" fontId="25" fillId="4" borderId="20" xfId="0" applyNumberFormat="1" applyFont="1" applyFill="1" applyBorder="1" applyAlignment="1">
      <alignment vertical="center"/>
    </xf>
    <xf numFmtId="44" fontId="26" fillId="4" borderId="20" xfId="0" applyNumberFormat="1" applyFont="1" applyFill="1" applyBorder="1" applyAlignment="1">
      <alignment vertical="center"/>
    </xf>
    <xf numFmtId="44" fontId="25" fillId="4" borderId="20" xfId="0" applyNumberFormat="1" applyFont="1" applyFill="1" applyBorder="1" applyAlignment="1">
      <alignment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4" fontId="26" fillId="4" borderId="20" xfId="0" applyNumberFormat="1" applyFont="1" applyFill="1" applyBorder="1" applyAlignment="1">
      <alignment horizontal="right" vertical="center"/>
    </xf>
    <xf numFmtId="44" fontId="7" fillId="4" borderId="20" xfId="6" applyFont="1" applyFill="1" applyBorder="1" applyAlignment="1">
      <alignment vertical="center"/>
    </xf>
    <xf numFmtId="4" fontId="25" fillId="2" borderId="20" xfId="0" applyNumberFormat="1" applyFont="1" applyFill="1" applyBorder="1" applyAlignment="1">
      <alignment horizontal="center" vertical="center" wrapText="1"/>
    </xf>
    <xf numFmtId="4" fontId="26" fillId="2" borderId="20" xfId="0" applyNumberFormat="1" applyFont="1" applyFill="1" applyBorder="1" applyAlignment="1">
      <alignment horizontal="center" vertical="center"/>
    </xf>
    <xf numFmtId="4" fontId="25" fillId="4" borderId="20" xfId="2" applyNumberFormat="1" applyFont="1" applyFill="1" applyBorder="1" applyAlignment="1" applyProtection="1">
      <alignment horizontal="center" vertical="center" shrinkToFit="1"/>
    </xf>
    <xf numFmtId="44" fontId="25" fillId="4" borderId="20" xfId="0" applyNumberFormat="1" applyFont="1" applyFill="1" applyBorder="1" applyAlignment="1">
      <alignment horizontal="right" vertical="center" wrapText="1"/>
    </xf>
    <xf numFmtId="2" fontId="26" fillId="4" borderId="20" xfId="0" applyNumberFormat="1" applyFont="1" applyFill="1" applyBorder="1" applyAlignment="1">
      <alignment horizontal="center" vertical="center"/>
    </xf>
    <xf numFmtId="44" fontId="25" fillId="4" borderId="3" xfId="0" applyNumberFormat="1" applyFont="1" applyFill="1" applyBorder="1" applyAlignment="1">
      <alignment horizontal="right"/>
    </xf>
    <xf numFmtId="165" fontId="25" fillId="4" borderId="6" xfId="0" applyNumberFormat="1" applyFont="1" applyFill="1" applyBorder="1" applyAlignment="1">
      <alignment horizontal="right" vertical="center" wrapText="1"/>
    </xf>
    <xf numFmtId="44" fontId="25" fillId="2" borderId="3" xfId="0" applyNumberFormat="1" applyFont="1" applyFill="1" applyBorder="1" applyAlignment="1">
      <alignment horizontal="right"/>
    </xf>
    <xf numFmtId="4" fontId="26" fillId="0" borderId="20" xfId="0" applyNumberFormat="1" applyFont="1" applyBorder="1" applyAlignment="1">
      <alignment horizontal="center" vertical="center"/>
    </xf>
    <xf numFmtId="44" fontId="23" fillId="0" borderId="0" xfId="0" applyNumberFormat="1" applyFont="1" applyAlignment="1">
      <alignment vertical="center"/>
    </xf>
    <xf numFmtId="0" fontId="15" fillId="2" borderId="0" xfId="9" applyFont="1" applyFill="1" applyAlignment="1">
      <alignment horizontal="left" vertical="top"/>
    </xf>
    <xf numFmtId="0" fontId="11" fillId="2" borderId="0" xfId="7" applyFont="1" applyFill="1" applyAlignment="1">
      <alignment horizontal="right" vertical="center"/>
    </xf>
    <xf numFmtId="0" fontId="11" fillId="2" borderId="21" xfId="7" applyFont="1" applyFill="1" applyBorder="1" applyAlignment="1">
      <alignment horizontal="right" vertical="center"/>
    </xf>
    <xf numFmtId="0" fontId="15" fillId="2" borderId="0" xfId="9" applyFont="1" applyFill="1" applyAlignment="1">
      <alignment horizontal="left" vertical="center"/>
    </xf>
    <xf numFmtId="0" fontId="15" fillId="2" borderId="0" xfId="9" applyFont="1" applyFill="1" applyAlignment="1">
      <alignment horizontal="left" vertical="center" wrapText="1"/>
    </xf>
    <xf numFmtId="0" fontId="17" fillId="2" borderId="0" xfId="9" applyFont="1" applyFill="1" applyAlignment="1">
      <alignment horizontal="center" vertical="center"/>
    </xf>
    <xf numFmtId="0" fontId="18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left" vertical="center"/>
    </xf>
    <xf numFmtId="0" fontId="19" fillId="2" borderId="0" xfId="9" applyFont="1" applyFill="1" applyAlignment="1">
      <alignment horizontal="left" vertical="center" wrapText="1"/>
    </xf>
    <xf numFmtId="0" fontId="20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right" vertical="center"/>
    </xf>
    <xf numFmtId="0" fontId="19" fillId="2" borderId="0" xfId="9" applyFont="1" applyFill="1" applyAlignment="1">
      <alignment horizontal="center" vertical="center"/>
    </xf>
    <xf numFmtId="4" fontId="25" fillId="0" borderId="12" xfId="0" applyNumberFormat="1" applyFont="1" applyBorder="1" applyAlignment="1">
      <alignment horizontal="center" vertical="center"/>
    </xf>
    <xf numFmtId="4" fontId="27" fillId="0" borderId="0" xfId="0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4" fontId="25" fillId="0" borderId="17" xfId="0" applyNumberFormat="1" applyFont="1" applyBorder="1" applyAlignment="1">
      <alignment horizontal="left" vertical="center"/>
    </xf>
    <xf numFmtId="4" fontId="25" fillId="0" borderId="0" xfId="0" applyNumberFormat="1" applyFont="1" applyAlignment="1">
      <alignment horizontal="left" vertical="center"/>
    </xf>
    <xf numFmtId="4" fontId="25" fillId="0" borderId="14" xfId="0" applyNumberFormat="1" applyFont="1" applyBorder="1" applyAlignment="1">
      <alignment horizontal="left" vertical="center"/>
    </xf>
    <xf numFmtId="0" fontId="25" fillId="4" borderId="18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167" fontId="24" fillId="2" borderId="0" xfId="0" applyNumberFormat="1" applyFont="1" applyFill="1" applyAlignment="1">
      <alignment horizontal="center"/>
    </xf>
    <xf numFmtId="44" fontId="22" fillId="0" borderId="0" xfId="0" applyNumberFormat="1" applyFont="1" applyAlignment="1">
      <alignment horizontal="center"/>
    </xf>
    <xf numFmtId="0" fontId="25" fillId="4" borderId="19" xfId="0" applyFont="1" applyFill="1" applyBorder="1" applyAlignment="1">
      <alignment horizontal="right" vertical="center"/>
    </xf>
    <xf numFmtId="0" fontId="25" fillId="4" borderId="9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18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4" borderId="18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25" fillId="4" borderId="18" xfId="0" applyFont="1" applyFill="1" applyBorder="1" applyAlignment="1">
      <alignment horizontal="center" vertical="center" wrapText="1"/>
    </xf>
    <xf numFmtId="44" fontId="25" fillId="4" borderId="19" xfId="6" applyFont="1" applyFill="1" applyBorder="1" applyAlignment="1">
      <alignment horizontal="center" vertical="center" wrapText="1"/>
    </xf>
    <xf numFmtId="44" fontId="25" fillId="4" borderId="9" xfId="6" applyFont="1" applyFill="1" applyBorder="1" applyAlignment="1">
      <alignment horizontal="center" vertical="center" wrapText="1"/>
    </xf>
    <xf numFmtId="165" fontId="25" fillId="2" borderId="3" xfId="0" applyNumberFormat="1" applyFont="1" applyFill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right" vertical="center"/>
    </xf>
  </cellXfs>
  <cellStyles count="15">
    <cellStyle name="Moeda" xfId="6" builtinId="4"/>
    <cellStyle name="Moeda 2" xfId="8" xr:uid="{9CB62D13-2E62-4F10-A3DD-EAF13831C432}"/>
    <cellStyle name="Moeda 3" xfId="13" xr:uid="{4AFBFB2D-7DEB-4AAB-985C-3B557E5E9C47}"/>
    <cellStyle name="Normal" xfId="0" builtinId="0"/>
    <cellStyle name="Normal 2" xfId="12" xr:uid="{23123675-FFCD-4156-BB36-16E4F625F579}"/>
    <cellStyle name="Normal 2 2" xfId="4" xr:uid="{00000000-0005-0000-0000-000002000000}"/>
    <cellStyle name="Normal 3" xfId="10" xr:uid="{205B4B4F-B0AF-4B64-8C46-030873C6E2D5}"/>
    <cellStyle name="Normal 3 2" xfId="7" xr:uid="{0D5A1226-2B70-4ECE-BED5-F3A9CD1F978B}"/>
    <cellStyle name="Normal 4" xfId="9" xr:uid="{6B0A2968-EDA9-4784-99B8-E1BAD4427724}"/>
    <cellStyle name="Normal 8" xfId="3" xr:uid="{00000000-0005-0000-0000-000003000000}"/>
    <cellStyle name="Porcentagem" xfId="2" builtinId="5"/>
    <cellStyle name="Porcentagem 2" xfId="14" xr:uid="{D6B4A3E2-70D8-450A-BEF1-B5BAC5DD9EB8}"/>
    <cellStyle name="Separador de milhares 7" xfId="5" xr:uid="{00000000-0005-0000-0000-000006000000}"/>
    <cellStyle name="Vírgula" xfId="1" builtinId="3"/>
    <cellStyle name="Vírgula 2" xfId="11" xr:uid="{31A9B819-1D8E-4882-B812-9D6858FBB41C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</xdr:colOff>
      <xdr:row>0</xdr:row>
      <xdr:rowOff>152400</xdr:rowOff>
    </xdr:from>
    <xdr:ext cx="1590675" cy="441960"/>
    <xdr:pic>
      <xdr:nvPicPr>
        <xdr:cNvPr id="2" name="Imagem 1">
          <a:extLst>
            <a:ext uri="{FF2B5EF4-FFF2-40B4-BE49-F238E27FC236}">
              <a16:creationId xmlns:a16="http://schemas.microsoft.com/office/drawing/2014/main" id="{12FC2D17-D924-4125-B44D-19186A7AE4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152400"/>
          <a:ext cx="1590675" cy="4419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266701</xdr:colOff>
      <xdr:row>0</xdr:row>
      <xdr:rowOff>207169</xdr:rowOff>
    </xdr:from>
    <xdr:ext cx="2771133" cy="37247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10FD09B-8198-4BA4-A5BF-29771EC33846}"/>
            </a:ext>
          </a:extLst>
        </xdr:cNvPr>
        <xdr:cNvSpPr txBox="1"/>
      </xdr:nvSpPr>
      <xdr:spPr>
        <a:xfrm>
          <a:off x="32556451" y="207169"/>
          <a:ext cx="2771133" cy="372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900" b="1">
              <a:latin typeface="Arial" panose="020B0604020202020204" pitchFamily="34" charset="0"/>
              <a:cs typeface="Arial" panose="020B0604020202020204" pitchFamily="34" charset="0"/>
            </a:rPr>
            <a:t>CPL N° 458/2021</a:t>
          </a:r>
        </a:p>
      </xdr:txBody>
    </xdr:sp>
    <xdr:clientData/>
  </xdr:oneCellAnchor>
  <xdr:twoCellAnchor editAs="oneCell">
    <xdr:from>
      <xdr:col>1</xdr:col>
      <xdr:colOff>166688</xdr:colOff>
      <xdr:row>0</xdr:row>
      <xdr:rowOff>152400</xdr:rowOff>
    </xdr:from>
    <xdr:to>
      <xdr:col>3</xdr:col>
      <xdr:colOff>249816</xdr:colOff>
      <xdr:row>2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9B4C2F-0EC3-4250-9A11-0F4FF70B3F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152400"/>
          <a:ext cx="2440566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engenharia01$\Processo%20Rua%20Francisco%20de%20Paula%20Souza%20Rosas\Manuten&#231;&#227;o%20vi&#225;ria%20Atualizada_Final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ÃO MAIO"/>
      <sheetName val="Cablocos"/>
      <sheetName val="Rui Barbosa"/>
      <sheetName val="SIURB JUL.2018"/>
      <sheetName val="CPOS MAR.2019"/>
      <sheetName val="SINAPI FEV.2019"/>
      <sheetName val="JD AMAZONAS "/>
      <sheetName val="MEMORIA DE CALCULO"/>
      <sheetName val="SÃO JOSÉ + SÃO LUIZ"/>
      <sheetName val="SÃO JOSÉ + NHONHO DE LIMA"/>
    </sheetNames>
    <sheetDataSet>
      <sheetData sheetId="0">
        <row r="80">
          <cell r="A80">
            <v>4</v>
          </cell>
          <cell r="B80" t="str">
            <v>CPOS</v>
          </cell>
          <cell r="C80" t="str">
            <v>54.01.010</v>
          </cell>
          <cell r="D80" t="str">
            <v>REGULARIZAÇÃO E COMPACTAÇÃO MECANIZADA DE SUPERFÍCIE, SEM CONTROLE DO PROCTOR NORMAL</v>
          </cell>
          <cell r="E80" t="str">
            <v>M²</v>
          </cell>
          <cell r="F80">
            <v>1.99</v>
          </cell>
        </row>
        <row r="82">
          <cell r="D82" t="str">
            <v>SUBTOTAL</v>
          </cell>
          <cell r="E82" t="str">
            <v>M³</v>
          </cell>
          <cell r="F82">
            <v>82.34</v>
          </cell>
        </row>
        <row r="83">
          <cell r="A83">
            <v>5</v>
          </cell>
          <cell r="B83" t="str">
            <v>CPOS</v>
          </cell>
          <cell r="C83" t="str">
            <v>54.02.030</v>
          </cell>
          <cell r="D83" t="str">
            <v>REVESTIMENTO PRIMÁRIO COM PEDRA BRITADA, COMPACTAÇÃO MÍNIMA DE 95% DO PN</v>
          </cell>
          <cell r="E83" t="str">
            <v>M³</v>
          </cell>
          <cell r="F83">
            <v>82.34</v>
          </cell>
        </row>
        <row r="85">
          <cell r="D85" t="str">
            <v xml:space="preserve">MANUTENÇÃO DE GUIAS E SARJETAS </v>
          </cell>
          <cell r="E85" t="str">
            <v>M</v>
          </cell>
          <cell r="F85">
            <v>104.15039130434782</v>
          </cell>
        </row>
        <row r="86">
          <cell r="A86" t="str">
            <v>6.1</v>
          </cell>
          <cell r="B86" t="str">
            <v>SIURB</v>
          </cell>
          <cell r="C86">
            <v>50100</v>
          </cell>
          <cell r="D86" t="str">
            <v>ARRANCAMENTO DE GUIAS, INCLUI CARGA EM CAMINHÃO</v>
          </cell>
          <cell r="E86" t="str">
            <v>M</v>
          </cell>
          <cell r="F86">
            <v>8.5</v>
          </cell>
        </row>
        <row r="87">
          <cell r="A87" t="str">
            <v>6.2</v>
          </cell>
          <cell r="B87" t="str">
            <v>SIURB</v>
          </cell>
          <cell r="C87">
            <v>50300</v>
          </cell>
          <cell r="D87" t="str">
            <v>DEMOLIÇÃO DE PAVIMENTO DE CONCRETO, SARJETA OU SARJETÃO, INCLUI CARGA EM CAMINHÃO</v>
          </cell>
          <cell r="E87" t="str">
            <v>M2</v>
          </cell>
          <cell r="F87">
            <v>19.61</v>
          </cell>
        </row>
        <row r="88">
          <cell r="A88" t="str">
            <v>6.3</v>
          </cell>
          <cell r="B88" t="str">
            <v>SIURB</v>
          </cell>
          <cell r="C88">
            <v>51402</v>
          </cell>
          <cell r="D88" t="str">
            <v>FORNECIMENTO E ASSENTAMENTO DE GUIAS TIPO PMSP 100, INCLUSIVE ENCOSTAMENTO DE TERRA - FCK=25,0MPA</v>
          </cell>
          <cell r="E88" t="str">
            <v>M</v>
          </cell>
          <cell r="F88">
            <v>35</v>
          </cell>
        </row>
        <row r="89">
          <cell r="A89" t="str">
            <v>6.4</v>
          </cell>
          <cell r="B89" t="str">
            <v>SIURB</v>
          </cell>
          <cell r="C89">
            <v>57300</v>
          </cell>
          <cell r="D89" t="str">
            <v>ASSENTAMENTO DE GUIAS TIPO PMSP 100, INCLUSIVE ENCOSTAMENTO DE TERRA</v>
          </cell>
          <cell r="E89" t="str">
            <v>M</v>
          </cell>
          <cell r="F89">
            <v>14.93</v>
          </cell>
        </row>
        <row r="90">
          <cell r="A90" t="str">
            <v>6.5</v>
          </cell>
          <cell r="B90" t="str">
            <v>SIURB</v>
          </cell>
          <cell r="C90">
            <v>54800</v>
          </cell>
          <cell r="D90" t="str">
            <v>BASE DE BRITA GRADUADA</v>
          </cell>
          <cell r="E90" t="str">
            <v>M3</v>
          </cell>
          <cell r="F90">
            <v>150</v>
          </cell>
        </row>
        <row r="91">
          <cell r="A91" t="str">
            <v>6.6</v>
          </cell>
          <cell r="B91" t="str">
            <v>SIURB</v>
          </cell>
          <cell r="C91">
            <v>51901</v>
          </cell>
          <cell r="D91" t="str">
            <v>CONSTRUÇÃO DE SARJETA OU SARJETÃO DE CONCRETO - FCK=25,0MPA</v>
          </cell>
          <cell r="E91" t="str">
            <v>M3</v>
          </cell>
          <cell r="F91">
            <v>450</v>
          </cell>
        </row>
        <row r="92">
          <cell r="A92" t="str">
            <v>6.7</v>
          </cell>
          <cell r="B92" t="str">
            <v>SINAPI</v>
          </cell>
          <cell r="C92">
            <v>94269</v>
          </cell>
          <cell r="D92" t="str">
            <v>GUIA (MEIO-FIO) E SARJETA CONJUGADOS DE CONCRETO, MOLDADA IN LOCO EM TRECHO RETO COM EXTRUSORA, GUIA 13,5 CM BASE X 26 CM ALTURA, SARJETA 45 CM BASE X 11 CM ALTURA. AF_06/2016</v>
          </cell>
          <cell r="E92" t="str">
            <v>M</v>
          </cell>
          <cell r="F92">
            <v>18.399999999999999</v>
          </cell>
        </row>
        <row r="93">
          <cell r="A93" t="str">
            <v>6.8</v>
          </cell>
          <cell r="B93" t="str">
            <v>SIURB</v>
          </cell>
          <cell r="C93">
            <v>71600</v>
          </cell>
          <cell r="D93" t="str">
            <v>FORNECIMENTO E APLICAÇÃO DE CONCRETO USINADO FCK=25MPA</v>
          </cell>
          <cell r="E93" t="str">
            <v>M3</v>
          </cell>
          <cell r="F93">
            <v>400</v>
          </cell>
        </row>
        <row r="94">
          <cell r="A94" t="str">
            <v>6.9</v>
          </cell>
          <cell r="B94" t="str">
            <v>SIURB</v>
          </cell>
          <cell r="C94">
            <v>58200</v>
          </cell>
          <cell r="D94" t="str">
            <v>TRANSPORTE DE GUIAS</v>
          </cell>
          <cell r="E94" t="str">
            <v>MXKM</v>
          </cell>
          <cell r="F94">
            <v>0.25</v>
          </cell>
        </row>
        <row r="95">
          <cell r="A95" t="str">
            <v>6.10</v>
          </cell>
          <cell r="B95" t="str">
            <v>SIURB</v>
          </cell>
          <cell r="C95">
            <v>58100</v>
          </cell>
          <cell r="D95" t="str">
            <v>TRANSPORTE DE PAVIMENTO DE CONCRETO, SARJETA E SARJETÃO</v>
          </cell>
          <cell r="E95" t="str">
            <v>M2XKM</v>
          </cell>
          <cell r="F95">
            <v>0.75</v>
          </cell>
        </row>
        <row r="96">
          <cell r="A96" t="str">
            <v>6.11</v>
          </cell>
          <cell r="B96" t="str">
            <v>SIURB</v>
          </cell>
          <cell r="C96">
            <v>82300</v>
          </cell>
          <cell r="D96" t="str">
            <v>FORNECIMENTO E APLICAÇÃO DE TELA DE AÇO</v>
          </cell>
          <cell r="E96" t="str">
            <v>KG</v>
          </cell>
          <cell r="F96">
            <v>8.89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62F6-2404-4252-9BDA-BCBA2EAB7B0D}">
  <sheetPr>
    <pageSetUpPr fitToPage="1"/>
  </sheetPr>
  <dimension ref="A1:K52"/>
  <sheetViews>
    <sheetView view="pageBreakPreview" topLeftCell="A17" zoomScaleNormal="100" zoomScaleSheetLayoutView="100" workbookViewId="0">
      <selection activeCell="B28" sqref="B28:K28"/>
    </sheetView>
  </sheetViews>
  <sheetFormatPr defaultColWidth="9.140625" defaultRowHeight="15" x14ac:dyDescent="0.25"/>
  <cols>
    <col min="1" max="11" width="9.140625" style="39"/>
    <col min="12" max="16384" width="9.140625" style="26"/>
  </cols>
  <sheetData>
    <row r="1" spans="1:11" ht="12.75" x14ac:dyDescent="0.2">
      <c r="A1" s="278" t="s">
        <v>80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2.75" x14ac:dyDescent="0.2">
      <c r="A2" s="278" t="s">
        <v>85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ht="12.75" x14ac:dyDescent="0.2">
      <c r="A3" s="278" t="s">
        <v>86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ht="13.5" thickBot="1" x14ac:dyDescent="0.25">
      <c r="A4" s="279" t="s">
        <v>87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1" ht="13.5" thickTop="1" x14ac:dyDescent="0.2">
      <c r="A5" s="27"/>
      <c r="B5" s="28"/>
      <c r="C5" s="28"/>
      <c r="D5" s="29"/>
      <c r="E5" s="28"/>
      <c r="F5" s="30"/>
      <c r="G5" s="30"/>
      <c r="H5" s="27"/>
      <c r="I5" s="30"/>
      <c r="J5" s="31"/>
      <c r="K5" s="27"/>
    </row>
    <row r="6" spans="1:11" ht="12.75" x14ac:dyDescent="0.2">
      <c r="A6" s="32"/>
      <c r="B6" s="32"/>
      <c r="C6" s="32"/>
      <c r="D6" s="32"/>
      <c r="E6" s="32"/>
      <c r="F6" s="32"/>
      <c r="G6" s="32"/>
      <c r="H6" s="32"/>
      <c r="I6" s="32"/>
      <c r="J6" s="31"/>
      <c r="K6" s="31"/>
    </row>
    <row r="7" spans="1:11" ht="12.75" x14ac:dyDescent="0.2">
      <c r="A7" s="32" t="s">
        <v>88</v>
      </c>
      <c r="B7" s="32"/>
      <c r="C7" s="32"/>
      <c r="D7" s="32"/>
      <c r="E7" s="32"/>
      <c r="F7" s="32"/>
      <c r="G7" s="32"/>
      <c r="H7" s="32"/>
      <c r="I7" s="32"/>
      <c r="J7" s="33"/>
      <c r="K7" s="33"/>
    </row>
    <row r="8" spans="1:11" ht="12.75" x14ac:dyDescent="0.2">
      <c r="A8" s="277" t="s">
        <v>97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</row>
    <row r="9" spans="1:11" ht="12.75" x14ac:dyDescent="0.2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2.75" x14ac:dyDescent="0.2">
      <c r="A10" s="280"/>
      <c r="B10" s="280"/>
      <c r="C10" s="280"/>
      <c r="D10" s="280"/>
      <c r="E10" s="280"/>
      <c r="F10" s="280"/>
      <c r="G10" s="280"/>
      <c r="H10" s="280"/>
      <c r="I10" s="280"/>
      <c r="J10" s="280"/>
      <c r="K10" s="280"/>
    </row>
    <row r="11" spans="1:11" ht="12.75" customHeight="1" x14ac:dyDescent="0.2">
      <c r="A11" s="281" t="s">
        <v>240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</row>
    <row r="12" spans="1:11" ht="12.75" x14ac:dyDescent="0.2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</row>
    <row r="13" spans="1:11" ht="12.75" x14ac:dyDescent="0.2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2.75" x14ac:dyDescent="0.2">
      <c r="A14" s="280" t="s">
        <v>247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</row>
    <row r="15" spans="1:1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18.75" x14ac:dyDescent="0.2">
      <c r="A17" s="282" t="s">
        <v>89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5.75" x14ac:dyDescent="0.2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</row>
    <row r="19" spans="1:11" ht="15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57" customHeight="1" x14ac:dyDescent="0.2">
      <c r="A20" s="285" t="s">
        <v>248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5"/>
    </row>
    <row r="21" spans="1:11" ht="15.75" customHeight="1" x14ac:dyDescent="0.2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5.75" customHeight="1" x14ac:dyDescent="0.2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</row>
    <row r="23" spans="1:11" ht="15.75" customHeight="1" x14ac:dyDescent="0.2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</row>
    <row r="24" spans="1:11" ht="15.75" x14ac:dyDescent="0.2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4"/>
    </row>
    <row r="25" spans="1:11" ht="15.75" x14ac:dyDescent="0.25">
      <c r="A25" s="34"/>
      <c r="B25" s="284" t="s">
        <v>90</v>
      </c>
      <c r="C25" s="284"/>
      <c r="D25" s="284"/>
      <c r="E25" s="284"/>
      <c r="F25" s="284"/>
      <c r="G25" s="284"/>
      <c r="H25" s="284"/>
      <c r="I25" s="284"/>
      <c r="J25" s="284"/>
      <c r="K25" s="284"/>
    </row>
    <row r="26" spans="1:11" ht="15.75" x14ac:dyDescent="0.25">
      <c r="A26" s="34"/>
      <c r="B26" s="284" t="s">
        <v>249</v>
      </c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5.75" x14ac:dyDescent="0.25">
      <c r="A27" s="34"/>
      <c r="B27" s="284" t="s">
        <v>98</v>
      </c>
      <c r="C27" s="284"/>
      <c r="D27" s="284"/>
      <c r="E27" s="284"/>
      <c r="F27" s="284"/>
      <c r="G27" s="284"/>
      <c r="H27" s="284"/>
      <c r="I27" s="284"/>
      <c r="J27" s="284"/>
      <c r="K27" s="284"/>
    </row>
    <row r="28" spans="1:11" ht="15.75" x14ac:dyDescent="0.25">
      <c r="A28" s="34"/>
      <c r="B28" s="284" t="s">
        <v>91</v>
      </c>
      <c r="C28" s="284"/>
      <c r="D28" s="284"/>
      <c r="E28" s="284"/>
      <c r="F28" s="284"/>
      <c r="G28" s="284"/>
      <c r="H28" s="284"/>
      <c r="I28" s="284"/>
      <c r="J28" s="284"/>
      <c r="K28" s="284"/>
    </row>
    <row r="29" spans="1:11" ht="15.75" x14ac:dyDescent="0.25">
      <c r="A29" s="34"/>
      <c r="B29" s="284" t="s">
        <v>92</v>
      </c>
      <c r="C29" s="284"/>
      <c r="D29" s="284"/>
      <c r="E29" s="284"/>
      <c r="F29" s="284"/>
      <c r="G29" s="284"/>
      <c r="H29" s="284"/>
      <c r="I29" s="284"/>
      <c r="J29" s="284"/>
      <c r="K29" s="284"/>
    </row>
    <row r="30" spans="1:11" ht="15.75" x14ac:dyDescent="0.25">
      <c r="A30" s="34"/>
      <c r="B30" s="284" t="s">
        <v>93</v>
      </c>
      <c r="C30" s="284"/>
      <c r="D30" s="284"/>
      <c r="E30" s="284"/>
      <c r="F30" s="284"/>
      <c r="G30" s="284"/>
      <c r="H30" s="284"/>
      <c r="I30" s="284"/>
      <c r="J30" s="284"/>
      <c r="K30" s="284"/>
    </row>
    <row r="31" spans="1:11" ht="15.75" x14ac:dyDescent="0.25">
      <c r="A31" s="34"/>
      <c r="B31" s="284" t="s">
        <v>100</v>
      </c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5.75" x14ac:dyDescent="0.25">
      <c r="A32" s="34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15.75" x14ac:dyDescent="0.25">
      <c r="A33" s="34"/>
      <c r="B33" s="287" t="s">
        <v>94</v>
      </c>
      <c r="C33" s="287"/>
      <c r="D33" s="287"/>
      <c r="E33" s="287"/>
      <c r="F33" s="287"/>
      <c r="G33" s="287"/>
      <c r="H33" s="287"/>
      <c r="I33" s="287"/>
      <c r="J33" s="287"/>
      <c r="K33" s="287"/>
    </row>
    <row r="34" spans="1:11" ht="15.75" x14ac:dyDescent="0.25">
      <c r="A34" s="34"/>
      <c r="B34" s="287" t="s">
        <v>95</v>
      </c>
      <c r="C34" s="287"/>
      <c r="D34" s="287"/>
      <c r="E34" s="287"/>
      <c r="F34" s="287"/>
      <c r="G34" s="287"/>
      <c r="H34" s="287"/>
      <c r="I34" s="287"/>
      <c r="J34" s="287"/>
      <c r="K34" s="287"/>
    </row>
    <row r="35" spans="1:11" ht="15.75" x14ac:dyDescent="0.25">
      <c r="A35" s="34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5.75" x14ac:dyDescent="0.25">
      <c r="A36" s="34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5.7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15.75" x14ac:dyDescent="0.2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</row>
    <row r="39" spans="1:11" ht="15.75" x14ac:dyDescent="0.2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</row>
    <row r="40" spans="1:11" ht="15.7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5.7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.7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5.75" x14ac:dyDescent="0.2">
      <c r="A43" s="286" t="s">
        <v>96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6"/>
    </row>
    <row r="44" spans="1:11" ht="15.75" x14ac:dyDescent="0.2">
      <c r="A44" s="286" t="s">
        <v>80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5.75" x14ac:dyDescent="0.2">
      <c r="A45" s="286" t="s">
        <v>81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6"/>
    </row>
    <row r="46" spans="1:11" ht="15.75" x14ac:dyDescent="0.2">
      <c r="A46" s="286" t="s">
        <v>82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6"/>
    </row>
    <row r="47" spans="1:11" ht="15.75" x14ac:dyDescent="0.2">
      <c r="A47" s="286" t="s">
        <v>83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</row>
    <row r="48" spans="1:1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</sheetData>
  <mergeCells count="32">
    <mergeCell ref="A45:K45"/>
    <mergeCell ref="A46:K46"/>
    <mergeCell ref="A47:K47"/>
    <mergeCell ref="B33:K33"/>
    <mergeCell ref="A38:K38"/>
    <mergeCell ref="A39:K39"/>
    <mergeCell ref="A43:K43"/>
    <mergeCell ref="A44:K44"/>
    <mergeCell ref="B34:K34"/>
    <mergeCell ref="B31:K31"/>
    <mergeCell ref="A20:K20"/>
    <mergeCell ref="A21:K21"/>
    <mergeCell ref="A22:K22"/>
    <mergeCell ref="A23:K23"/>
    <mergeCell ref="A24:K24"/>
    <mergeCell ref="B25:K25"/>
    <mergeCell ref="B26:K26"/>
    <mergeCell ref="B27:K27"/>
    <mergeCell ref="B28:K28"/>
    <mergeCell ref="B29:K29"/>
    <mergeCell ref="B30:K30"/>
    <mergeCell ref="A10:K10"/>
    <mergeCell ref="A11:K13"/>
    <mergeCell ref="A14:K14"/>
    <mergeCell ref="A17:K17"/>
    <mergeCell ref="A18:K18"/>
    <mergeCell ref="A9:K9"/>
    <mergeCell ref="A1:K1"/>
    <mergeCell ref="A2:K2"/>
    <mergeCell ref="A3:K3"/>
    <mergeCell ref="A4:K4"/>
    <mergeCell ref="A8:K8"/>
  </mergeCells>
  <pageMargins left="0.511811024" right="0.511811024" top="0.78740157499999996" bottom="0.78740157499999996" header="0.31496062000000002" footer="0.31496062000000002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5"/>
  <sheetViews>
    <sheetView showGridLines="0" showZeros="0" tabSelected="1" view="pageBreakPreview" topLeftCell="I103" zoomScale="70" zoomScaleNormal="80" zoomScaleSheetLayoutView="70" workbookViewId="0">
      <selection activeCell="Z106" sqref="Z106"/>
    </sheetView>
  </sheetViews>
  <sheetFormatPr defaultColWidth="11.42578125" defaultRowHeight="15" x14ac:dyDescent="0.25"/>
  <cols>
    <col min="1" max="1" width="4.85546875" style="2" customWidth="1"/>
    <col min="2" max="2" width="13.28515625" style="3" customWidth="1"/>
    <col min="3" max="3" width="22" style="3" bestFit="1" customWidth="1"/>
    <col min="4" max="4" width="24" style="3" customWidth="1"/>
    <col min="5" max="5" width="94.7109375" style="4" customWidth="1"/>
    <col min="6" max="6" width="13.7109375" style="2" bestFit="1" customWidth="1"/>
    <col min="7" max="7" width="26.7109375" style="1" customWidth="1"/>
    <col min="8" max="8" width="29.42578125" style="9" customWidth="1"/>
    <col min="9" max="9" width="36.5703125" style="9" customWidth="1"/>
    <col min="10" max="10" width="19.28515625" style="1" customWidth="1"/>
    <col min="11" max="11" width="35.5703125" style="7" customWidth="1"/>
    <col min="12" max="12" width="28.7109375" style="7" hidden="1" customWidth="1"/>
    <col min="13" max="13" width="37" style="7" hidden="1" customWidth="1"/>
    <col min="14" max="14" width="26.85546875" style="5" hidden="1" customWidth="1"/>
    <col min="15" max="15" width="34.5703125" style="8" hidden="1" customWidth="1"/>
    <col min="16" max="16" width="22.5703125" style="5" hidden="1" customWidth="1"/>
    <col min="17" max="17" width="35.28515625" style="8" hidden="1" customWidth="1"/>
    <col min="18" max="18" width="18.140625" style="5" hidden="1" customWidth="1"/>
    <col min="19" max="23" width="33.28515625" style="8" hidden="1" customWidth="1"/>
    <col min="24" max="25" width="33.28515625" style="8" customWidth="1"/>
    <col min="26" max="26" width="21.5703125" style="10" customWidth="1"/>
    <col min="27" max="27" width="36.42578125" style="6" customWidth="1"/>
    <col min="28" max="28" width="24.7109375" style="25" customWidth="1"/>
    <col min="29" max="29" width="18.5703125" style="1" customWidth="1"/>
    <col min="30" max="30" width="28.5703125" style="6" customWidth="1"/>
    <col min="31" max="32" width="18.5703125" style="2" customWidth="1"/>
    <col min="33" max="33" width="28.28515625" style="2" customWidth="1"/>
    <col min="34" max="44" width="18.5703125" style="2" customWidth="1"/>
    <col min="45" max="16384" width="11.42578125" style="2"/>
  </cols>
  <sheetData>
    <row r="1" spans="2:33" s="49" customFormat="1" ht="19.5" x14ac:dyDescent="0.25"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56"/>
      <c r="AC1" s="48"/>
      <c r="AD1" s="227"/>
    </row>
    <row r="2" spans="2:33" s="49" customFormat="1" ht="19.5" x14ac:dyDescent="0.25"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57"/>
      <c r="AC2" s="48"/>
      <c r="AD2" s="227"/>
    </row>
    <row r="3" spans="2:33" s="49" customFormat="1" ht="20.25" thickBot="1" x14ac:dyDescent="0.3">
      <c r="B3" s="58"/>
      <c r="C3" s="58"/>
      <c r="D3" s="58"/>
      <c r="E3" s="59"/>
      <c r="F3" s="60"/>
      <c r="G3" s="61"/>
      <c r="H3" s="62"/>
      <c r="I3" s="62"/>
      <c r="J3" s="63"/>
      <c r="K3" s="64"/>
      <c r="L3" s="64"/>
      <c r="M3" s="64"/>
      <c r="N3" s="60"/>
      <c r="O3" s="65"/>
      <c r="P3" s="60"/>
      <c r="Q3" s="65"/>
      <c r="R3" s="60"/>
      <c r="S3" s="65"/>
      <c r="T3" s="65"/>
      <c r="U3" s="65"/>
      <c r="V3" s="65"/>
      <c r="W3" s="65"/>
      <c r="X3" s="65"/>
      <c r="Y3" s="65"/>
      <c r="Z3" s="211"/>
      <c r="AA3" s="66"/>
      <c r="AB3" s="67"/>
      <c r="AC3" s="48"/>
      <c r="AD3" s="227"/>
    </row>
    <row r="4" spans="2:33" s="49" customFormat="1" ht="33.75" customHeight="1" x14ac:dyDescent="0.25">
      <c r="B4" s="291"/>
      <c r="C4" s="291"/>
      <c r="D4" s="291"/>
      <c r="E4" s="291"/>
      <c r="F4" s="291"/>
      <c r="G4" s="68"/>
      <c r="H4" s="69"/>
      <c r="I4" s="292"/>
      <c r="J4" s="292"/>
      <c r="K4" s="70"/>
      <c r="L4" s="70"/>
      <c r="M4" s="70"/>
      <c r="N4" s="71"/>
      <c r="O4" s="70"/>
      <c r="P4" s="71"/>
      <c r="Q4" s="70"/>
      <c r="R4" s="71"/>
      <c r="S4" s="293" t="s">
        <v>245</v>
      </c>
      <c r="T4" s="293"/>
      <c r="U4" s="293"/>
      <c r="V4" s="293"/>
      <c r="W4" s="293"/>
      <c r="X4" s="293"/>
      <c r="Y4" s="293"/>
      <c r="Z4" s="293"/>
      <c r="AA4" s="293"/>
      <c r="AB4" s="294"/>
      <c r="AC4" s="48"/>
      <c r="AD4" s="227"/>
    </row>
    <row r="5" spans="2:33" s="49" customFormat="1" ht="19.5" x14ac:dyDescent="0.25">
      <c r="B5" s="72"/>
      <c r="C5" s="72"/>
      <c r="D5" s="72"/>
      <c r="E5" s="71"/>
      <c r="F5" s="73"/>
      <c r="G5" s="68"/>
      <c r="H5" s="74"/>
      <c r="I5" s="74"/>
      <c r="J5" s="68"/>
      <c r="K5" s="75" t="s">
        <v>102</v>
      </c>
      <c r="L5" s="75"/>
      <c r="M5" s="75"/>
      <c r="N5" s="73"/>
      <c r="O5" s="69"/>
      <c r="P5" s="73"/>
      <c r="Q5" s="69"/>
      <c r="R5" s="73"/>
      <c r="S5" s="69"/>
      <c r="T5" s="69"/>
      <c r="U5" s="69"/>
      <c r="V5" s="69"/>
      <c r="W5" s="69"/>
      <c r="X5" s="69"/>
      <c r="Y5" s="69"/>
      <c r="Z5" s="212"/>
      <c r="AA5" s="76"/>
      <c r="AB5" s="57"/>
      <c r="AC5" s="48"/>
      <c r="AD5" s="227"/>
    </row>
    <row r="6" spans="2:33" s="49" customFormat="1" ht="42" customHeight="1" x14ac:dyDescent="0.25"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77"/>
      <c r="R6" s="77"/>
      <c r="S6" s="293" t="s">
        <v>246</v>
      </c>
      <c r="T6" s="293"/>
      <c r="U6" s="293"/>
      <c r="V6" s="293"/>
      <c r="W6" s="293"/>
      <c r="X6" s="293"/>
      <c r="Y6" s="293"/>
      <c r="Z6" s="293"/>
      <c r="AA6" s="293"/>
      <c r="AB6" s="294"/>
      <c r="AC6" s="48"/>
      <c r="AD6" s="227"/>
    </row>
    <row r="7" spans="2:33" s="49" customFormat="1" ht="19.5" x14ac:dyDescent="0.25"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69"/>
      <c r="R7" s="73"/>
      <c r="S7" s="69"/>
      <c r="T7" s="69"/>
      <c r="U7" s="69"/>
      <c r="V7" s="69"/>
      <c r="W7" s="69"/>
      <c r="X7" s="69"/>
      <c r="Y7" s="69"/>
      <c r="Z7" s="212"/>
      <c r="AA7" s="76"/>
      <c r="AB7" s="57"/>
      <c r="AC7" s="48"/>
      <c r="AD7" s="227"/>
    </row>
    <row r="8" spans="2:33" s="49" customFormat="1" ht="33.75" customHeight="1" x14ac:dyDescent="0.25">
      <c r="B8" s="78"/>
      <c r="C8" s="78"/>
      <c r="D8" s="78"/>
      <c r="E8" s="78"/>
      <c r="F8" s="78"/>
      <c r="G8" s="79"/>
      <c r="H8" s="78"/>
      <c r="I8" s="78"/>
      <c r="J8" s="79"/>
      <c r="K8" s="80"/>
      <c r="L8" s="80"/>
      <c r="M8" s="80"/>
      <c r="N8" s="81"/>
      <c r="O8" s="80"/>
      <c r="P8" s="81"/>
      <c r="Q8" s="80"/>
      <c r="R8" s="81"/>
      <c r="S8" s="301" t="s">
        <v>250</v>
      </c>
      <c r="T8" s="301"/>
      <c r="U8" s="301"/>
      <c r="V8" s="301"/>
      <c r="W8" s="301"/>
      <c r="X8" s="301"/>
      <c r="Y8" s="301"/>
      <c r="Z8" s="301"/>
      <c r="AA8" s="301"/>
      <c r="AB8" s="302"/>
      <c r="AC8" s="48"/>
      <c r="AD8" s="227"/>
    </row>
    <row r="9" spans="2:33" s="49" customFormat="1" ht="19.5" x14ac:dyDescent="0.25">
      <c r="B9" s="82"/>
      <c r="C9" s="196"/>
      <c r="D9" s="196"/>
      <c r="E9" s="83"/>
      <c r="F9" s="84"/>
      <c r="G9" s="85"/>
      <c r="H9" s="86"/>
      <c r="I9" s="87"/>
      <c r="J9" s="88"/>
      <c r="K9" s="89"/>
      <c r="L9" s="90"/>
      <c r="M9" s="90"/>
      <c r="N9" s="91"/>
      <c r="O9" s="92"/>
      <c r="P9" s="91"/>
      <c r="Q9" s="92"/>
      <c r="R9" s="91"/>
      <c r="S9" s="92"/>
      <c r="T9" s="255"/>
      <c r="U9" s="255"/>
      <c r="V9" s="255"/>
      <c r="W9" s="255"/>
      <c r="X9" s="255"/>
      <c r="Y9" s="255"/>
      <c r="Z9" s="213"/>
      <c r="AA9" s="93"/>
      <c r="AB9" s="94"/>
      <c r="AC9" s="48"/>
      <c r="AD9" s="227"/>
    </row>
    <row r="10" spans="2:33" s="50" customFormat="1" ht="90" customHeight="1" x14ac:dyDescent="0.25">
      <c r="B10" s="194" t="s">
        <v>162</v>
      </c>
      <c r="C10" s="194" t="s">
        <v>183</v>
      </c>
      <c r="D10" s="194" t="s">
        <v>186</v>
      </c>
      <c r="E10" s="95" t="s">
        <v>0</v>
      </c>
      <c r="F10" s="96" t="s">
        <v>10</v>
      </c>
      <c r="G10" s="97" t="s">
        <v>103</v>
      </c>
      <c r="H10" s="98" t="s">
        <v>104</v>
      </c>
      <c r="I10" s="98" t="s">
        <v>105</v>
      </c>
      <c r="J10" s="97" t="s">
        <v>11</v>
      </c>
      <c r="K10" s="99" t="s">
        <v>12</v>
      </c>
      <c r="L10" s="100" t="s">
        <v>84</v>
      </c>
      <c r="M10" s="101" t="s">
        <v>13</v>
      </c>
      <c r="N10" s="97" t="s">
        <v>99</v>
      </c>
      <c r="O10" s="249" t="s">
        <v>13</v>
      </c>
      <c r="P10" s="100" t="s">
        <v>101</v>
      </c>
      <c r="Q10" s="101" t="s">
        <v>13</v>
      </c>
      <c r="R10" s="100" t="s">
        <v>241</v>
      </c>
      <c r="S10" s="101" t="s">
        <v>13</v>
      </c>
      <c r="T10" s="267" t="s">
        <v>242</v>
      </c>
      <c r="U10" s="256" t="s">
        <v>13</v>
      </c>
      <c r="V10" s="267" t="s">
        <v>243</v>
      </c>
      <c r="W10" s="256" t="s">
        <v>13</v>
      </c>
      <c r="X10" s="267" t="s">
        <v>244</v>
      </c>
      <c r="Y10" s="256" t="s">
        <v>13</v>
      </c>
      <c r="Z10" s="102" t="s">
        <v>14</v>
      </c>
      <c r="AA10" s="103" t="s">
        <v>15</v>
      </c>
      <c r="AB10" s="104" t="s">
        <v>16</v>
      </c>
      <c r="AC10" s="48"/>
      <c r="AD10" s="228"/>
    </row>
    <row r="11" spans="2:33" s="49" customFormat="1" ht="19.5" x14ac:dyDescent="0.25">
      <c r="B11" s="105"/>
      <c r="C11" s="105"/>
      <c r="D11" s="105"/>
      <c r="E11" s="106"/>
      <c r="F11" s="107"/>
      <c r="G11" s="108"/>
      <c r="H11" s="109"/>
      <c r="I11" s="109"/>
      <c r="J11" s="108"/>
      <c r="K11" s="110"/>
      <c r="L11" s="110"/>
      <c r="M11" s="110"/>
      <c r="N11" s="250"/>
      <c r="O11" s="109" t="str">
        <f>IF(G11=0,"",S11/G11)</f>
        <v/>
      </c>
      <c r="P11" s="111"/>
      <c r="Q11" s="112" t="str">
        <f>IF(I11=0,"",AA11/I11)</f>
        <v/>
      </c>
      <c r="R11" s="111"/>
      <c r="S11" s="112" t="str">
        <f>IF(I11=0,"",AA11/I11)</f>
        <v/>
      </c>
      <c r="T11" s="257"/>
      <c r="U11" s="257"/>
      <c r="V11" s="257"/>
      <c r="W11" s="257"/>
      <c r="X11" s="257"/>
      <c r="Y11" s="257"/>
      <c r="Z11" s="214"/>
      <c r="AA11" s="113"/>
      <c r="AB11" s="114">
        <f>G11-Z11</f>
        <v>0</v>
      </c>
      <c r="AC11" s="48"/>
      <c r="AD11" s="227"/>
    </row>
    <row r="12" spans="2:33" s="49" customFormat="1" ht="39.950000000000003" customHeight="1" x14ac:dyDescent="0.25">
      <c r="B12" s="115">
        <v>1</v>
      </c>
      <c r="C12" s="195"/>
      <c r="D12" s="195"/>
      <c r="E12" s="303" t="s">
        <v>17</v>
      </c>
      <c r="F12" s="304"/>
      <c r="G12" s="304"/>
      <c r="H12" s="304"/>
      <c r="I12" s="304"/>
      <c r="J12" s="304"/>
      <c r="K12" s="304"/>
      <c r="L12" s="305"/>
      <c r="M12" s="305"/>
      <c r="N12" s="305"/>
      <c r="O12" s="305"/>
      <c r="P12" s="304"/>
      <c r="Q12" s="305"/>
      <c r="R12" s="305"/>
      <c r="S12" s="304"/>
      <c r="T12" s="305"/>
      <c r="U12" s="305"/>
      <c r="V12" s="305"/>
      <c r="W12" s="305"/>
      <c r="X12" s="305"/>
      <c r="Y12" s="305"/>
      <c r="Z12" s="304"/>
      <c r="AA12" s="304"/>
      <c r="AB12" s="306"/>
      <c r="AC12" s="48"/>
      <c r="AD12" s="227"/>
    </row>
    <row r="13" spans="2:33" s="53" customFormat="1" ht="39.950000000000003" customHeight="1" x14ac:dyDescent="0.25">
      <c r="B13" s="116" t="s">
        <v>19</v>
      </c>
      <c r="C13" s="116" t="s">
        <v>184</v>
      </c>
      <c r="D13" s="198" t="s">
        <v>187</v>
      </c>
      <c r="E13" s="117" t="s">
        <v>18</v>
      </c>
      <c r="F13" s="118" t="s">
        <v>4</v>
      </c>
      <c r="G13" s="119">
        <v>16</v>
      </c>
      <c r="H13" s="120">
        <v>384.72</v>
      </c>
      <c r="I13" s="112">
        <f t="shared" ref="I13:I31" si="0">G13*H13</f>
        <v>6155.52</v>
      </c>
      <c r="J13" s="121">
        <f>L13+N13+P13+R13+T13+V13+X13</f>
        <v>16</v>
      </c>
      <c r="K13" s="122">
        <f>M13+O13+Q13+S13+U13+W13+Y13</f>
        <v>6155.52</v>
      </c>
      <c r="L13" s="229">
        <v>16</v>
      </c>
      <c r="M13" s="122">
        <f>L13*$H13</f>
        <v>6155.52</v>
      </c>
      <c r="N13" s="154"/>
      <c r="O13" s="110">
        <f>N13*$H13</f>
        <v>0</v>
      </c>
      <c r="P13" s="251"/>
      <c r="Q13" s="252">
        <f>P13*$H13</f>
        <v>0</v>
      </c>
      <c r="R13" s="124"/>
      <c r="S13" s="122">
        <f>R13*$H13</f>
        <v>0</v>
      </c>
      <c r="T13" s="268"/>
      <c r="U13" s="258">
        <f>T13*$H13</f>
        <v>0</v>
      </c>
      <c r="V13" s="268"/>
      <c r="W13" s="258">
        <f>V13*$H13</f>
        <v>0</v>
      </c>
      <c r="X13" s="268"/>
      <c r="Y13" s="258">
        <f>X13*$H13</f>
        <v>0</v>
      </c>
      <c r="Z13" s="125">
        <f>G13-J13</f>
        <v>0</v>
      </c>
      <c r="AA13" s="126">
        <f>Z13*H13</f>
        <v>0</v>
      </c>
      <c r="AB13" s="127">
        <f>IF(I13=0,"",K13/I13)</f>
        <v>1</v>
      </c>
      <c r="AC13" s="51" t="b">
        <f>I13=(K13+AA13)</f>
        <v>1</v>
      </c>
      <c r="AD13" s="54">
        <f>I13-(K13+AA13)</f>
        <v>0</v>
      </c>
      <c r="AE13" s="51" t="b">
        <f>G13=(J13+Z13)</f>
        <v>1</v>
      </c>
      <c r="AF13" s="52">
        <f t="shared" ref="AF13:AF18" si="1">G13-(J13+Z13)</f>
        <v>0</v>
      </c>
    </row>
    <row r="14" spans="2:33" s="53" customFormat="1" ht="39.950000000000003" customHeight="1" x14ac:dyDescent="0.25">
      <c r="B14" s="116" t="s">
        <v>20</v>
      </c>
      <c r="C14" s="116" t="s">
        <v>185</v>
      </c>
      <c r="D14" s="198" t="s">
        <v>188</v>
      </c>
      <c r="E14" s="128" t="s">
        <v>106</v>
      </c>
      <c r="F14" s="118" t="s">
        <v>107</v>
      </c>
      <c r="G14" s="119">
        <v>24</v>
      </c>
      <c r="H14" s="120">
        <v>876.89</v>
      </c>
      <c r="I14" s="112">
        <f t="shared" ref="I14" si="2">G14*H14</f>
        <v>21045.360000000001</v>
      </c>
      <c r="J14" s="121">
        <f>L14+N14+P14+R14+T14+V14+X14</f>
        <v>14</v>
      </c>
      <c r="K14" s="122">
        <f>M14+O14+Q14+S14+U14+W14+Y14</f>
        <v>12276.46</v>
      </c>
      <c r="L14" s="229">
        <v>2</v>
      </c>
      <c r="M14" s="122">
        <f t="shared" ref="M14" si="3">L14*H14</f>
        <v>1753.78</v>
      </c>
      <c r="N14" s="154">
        <v>2</v>
      </c>
      <c r="O14" s="110">
        <f t="shared" ref="O14" si="4">N14*$H14</f>
        <v>1753.78</v>
      </c>
      <c r="P14" s="251">
        <v>2</v>
      </c>
      <c r="Q14" s="252">
        <f t="shared" ref="Q14" si="5">P14*$H14</f>
        <v>1753.78</v>
      </c>
      <c r="R14" s="154">
        <v>2</v>
      </c>
      <c r="S14" s="122">
        <f t="shared" ref="S14" si="6">R14*$H14</f>
        <v>1753.78</v>
      </c>
      <c r="T14" s="268">
        <v>2</v>
      </c>
      <c r="U14" s="258">
        <f>T14*$H14</f>
        <v>1753.78</v>
      </c>
      <c r="V14" s="268">
        <v>2</v>
      </c>
      <c r="W14" s="258">
        <f>V14*$H14</f>
        <v>1753.78</v>
      </c>
      <c r="X14" s="268">
        <v>2</v>
      </c>
      <c r="Y14" s="258">
        <f>X14*$H14</f>
        <v>1753.78</v>
      </c>
      <c r="Z14" s="125">
        <f>G14-J14</f>
        <v>10</v>
      </c>
      <c r="AA14" s="126">
        <f>Z14*H14</f>
        <v>8768.9</v>
      </c>
      <c r="AB14" s="127">
        <f>IF(I14=0,"",K14/I14)</f>
        <v>0.58333000000000002</v>
      </c>
      <c r="AC14" s="51" t="b">
        <f>I14=(K14+AA14)</f>
        <v>1</v>
      </c>
      <c r="AD14" s="54">
        <f>I14-(K14+AA14)</f>
        <v>0</v>
      </c>
      <c r="AE14" s="51" t="b">
        <f>G14=(J14+Z14)</f>
        <v>1</v>
      </c>
      <c r="AF14" s="52">
        <f t="shared" si="1"/>
        <v>0</v>
      </c>
    </row>
    <row r="15" spans="2:33" s="49" customFormat="1" ht="39.950000000000003" customHeight="1" x14ac:dyDescent="0.25">
      <c r="B15" s="295"/>
      <c r="C15" s="295"/>
      <c r="D15" s="295"/>
      <c r="E15" s="295"/>
      <c r="F15" s="295"/>
      <c r="G15" s="295"/>
      <c r="H15" s="129"/>
      <c r="I15" s="130">
        <f>SUM(I13:I14)</f>
        <v>27200.880000000001</v>
      </c>
      <c r="J15" s="131"/>
      <c r="K15" s="132">
        <f>SUM(K13:K14)</f>
        <v>18431.98</v>
      </c>
      <c r="L15" s="133"/>
      <c r="M15" s="132">
        <f>SUM(M13:M14)</f>
        <v>7909.3</v>
      </c>
      <c r="N15" s="134"/>
      <c r="O15" s="130">
        <f>SUM(O13:O14)</f>
        <v>1753.78</v>
      </c>
      <c r="P15" s="134"/>
      <c r="Q15" s="130">
        <f>SUM(Q13:Q14)</f>
        <v>1753.78</v>
      </c>
      <c r="R15" s="134"/>
      <c r="S15" s="130">
        <f>SUM(S13:S14)</f>
        <v>1753.78</v>
      </c>
      <c r="T15" s="259"/>
      <c r="U15" s="259">
        <f>SUM(U13:U14)</f>
        <v>1753.78</v>
      </c>
      <c r="V15" s="259"/>
      <c r="W15" s="259">
        <f>SUM(W13:W14)</f>
        <v>1753.78</v>
      </c>
      <c r="X15" s="259"/>
      <c r="Y15" s="259">
        <f>SUM(Y13:Y14)</f>
        <v>1753.78</v>
      </c>
      <c r="Z15" s="135"/>
      <c r="AA15" s="136">
        <f>SUM(AA13:AA14)</f>
        <v>8768.9</v>
      </c>
      <c r="AB15" s="137">
        <f>IF(I15=0,"",K15/I15)</f>
        <v>0.67762</v>
      </c>
      <c r="AC15" s="51" t="b">
        <f>I15=(K15+AA15)</f>
        <v>1</v>
      </c>
      <c r="AD15" s="54">
        <f>I15-(K15+AA15)</f>
        <v>0</v>
      </c>
      <c r="AE15" s="51" t="b">
        <f>G15=(J15+Z15)</f>
        <v>1</v>
      </c>
      <c r="AF15" s="52">
        <f t="shared" si="1"/>
        <v>0</v>
      </c>
      <c r="AG15" s="276">
        <f>W15*1.2829</f>
        <v>2249.92</v>
      </c>
    </row>
    <row r="16" spans="2:33" s="49" customFormat="1" ht="39.950000000000003" customHeight="1" x14ac:dyDescent="0.25">
      <c r="B16" s="115">
        <v>2</v>
      </c>
      <c r="C16" s="195"/>
      <c r="D16" s="195"/>
      <c r="E16" s="138" t="s">
        <v>108</v>
      </c>
      <c r="F16" s="139"/>
      <c r="G16" s="140"/>
      <c r="H16" s="141"/>
      <c r="I16" s="141"/>
      <c r="J16" s="140"/>
      <c r="K16" s="142"/>
      <c r="L16" s="143"/>
      <c r="M16" s="142"/>
      <c r="N16" s="239"/>
      <c r="O16" s="160"/>
      <c r="P16" s="139"/>
      <c r="Q16" s="141"/>
      <c r="R16" s="139"/>
      <c r="S16" s="141"/>
      <c r="T16" s="141"/>
      <c r="U16" s="141"/>
      <c r="V16" s="141"/>
      <c r="W16" s="141"/>
      <c r="X16" s="141"/>
      <c r="Y16" s="141"/>
      <c r="Z16" s="215"/>
      <c r="AA16" s="144"/>
      <c r="AB16" s="145"/>
      <c r="AC16" s="51"/>
      <c r="AD16" s="54"/>
      <c r="AE16" s="51"/>
      <c r="AF16" s="52">
        <f t="shared" si="1"/>
        <v>0</v>
      </c>
    </row>
    <row r="17" spans="1:33" s="53" customFormat="1" ht="39.950000000000003" customHeight="1" x14ac:dyDescent="0.25">
      <c r="B17" s="116" t="s">
        <v>35</v>
      </c>
      <c r="C17" s="198" t="s">
        <v>189</v>
      </c>
      <c r="D17" s="198" t="s">
        <v>190</v>
      </c>
      <c r="E17" s="117" t="s">
        <v>112</v>
      </c>
      <c r="F17" s="146" t="s">
        <v>3</v>
      </c>
      <c r="G17" s="147">
        <v>4369.05</v>
      </c>
      <c r="H17" s="120">
        <v>251.37</v>
      </c>
      <c r="I17" s="112">
        <f t="shared" ref="I17:I22" si="7">G17*H17</f>
        <v>1098248.1000000001</v>
      </c>
      <c r="J17" s="121">
        <f t="shared" ref="J17:K31" si="8">L17+N17+P17+R17+T17+V17+X17</f>
        <v>3628.06</v>
      </c>
      <c r="K17" s="122">
        <f t="shared" si="8"/>
        <v>911985.44</v>
      </c>
      <c r="L17" s="229">
        <v>368.33</v>
      </c>
      <c r="M17" s="122">
        <f t="shared" ref="M17:M22" si="9">L17*H17</f>
        <v>92587.11</v>
      </c>
      <c r="N17" s="154">
        <v>57.54</v>
      </c>
      <c r="O17" s="110">
        <f>N17*$H17</f>
        <v>14463.83</v>
      </c>
      <c r="P17" s="154">
        <v>275.36</v>
      </c>
      <c r="Q17" s="252">
        <f>P17*$H17+0.01</f>
        <v>69217.25</v>
      </c>
      <c r="R17" s="108">
        <v>401.38</v>
      </c>
      <c r="S17" s="122">
        <f>R17*$H17</f>
        <v>100894.89</v>
      </c>
      <c r="T17" s="275">
        <v>738.11</v>
      </c>
      <c r="U17" s="258">
        <f>T17*$H17</f>
        <v>185538.71</v>
      </c>
      <c r="V17" s="268">
        <v>616.64</v>
      </c>
      <c r="W17" s="258">
        <f>V17*$H17-0.01</f>
        <v>155004.79</v>
      </c>
      <c r="X17" s="268">
        <v>1170.7</v>
      </c>
      <c r="Y17" s="258">
        <f t="shared" ref="Y17:Y31" si="10">X17*$H17</f>
        <v>294278.86</v>
      </c>
      <c r="Z17" s="125">
        <f t="shared" ref="Z17:Z31" si="11">G17-J17</f>
        <v>740.99</v>
      </c>
      <c r="AA17" s="126">
        <f t="shared" ref="AA17:AA31" si="12">Z17*H17</f>
        <v>186262.66</v>
      </c>
      <c r="AB17" s="127">
        <f t="shared" ref="AB17:AB32" si="13">IF(I17=0,"",K17/I17)</f>
        <v>0.83040000000000003</v>
      </c>
      <c r="AC17" s="51" t="b">
        <f t="shared" ref="AC17:AC31" si="14">I17=(K17+AA17)</f>
        <v>1</v>
      </c>
      <c r="AD17" s="54">
        <f>I17-(K17+AA17)</f>
        <v>0</v>
      </c>
      <c r="AE17" s="51" t="b">
        <f t="shared" ref="AE17:AE31" si="15">G17=(J17+Z17)</f>
        <v>1</v>
      </c>
      <c r="AF17" s="52">
        <f t="shared" si="1"/>
        <v>0</v>
      </c>
    </row>
    <row r="18" spans="1:33" s="53" customFormat="1" ht="39.950000000000003" customHeight="1" x14ac:dyDescent="0.25">
      <c r="B18" s="116" t="s">
        <v>36</v>
      </c>
      <c r="C18" s="198" t="s">
        <v>184</v>
      </c>
      <c r="D18" s="198" t="s">
        <v>191</v>
      </c>
      <c r="E18" s="128" t="s">
        <v>122</v>
      </c>
      <c r="F18" s="146" t="s">
        <v>4</v>
      </c>
      <c r="G18" s="147">
        <v>182043.55</v>
      </c>
      <c r="H18" s="120">
        <v>0.48</v>
      </c>
      <c r="I18" s="112">
        <f t="shared" si="7"/>
        <v>87380.9</v>
      </c>
      <c r="J18" s="121">
        <f t="shared" si="8"/>
        <v>100924.17</v>
      </c>
      <c r="K18" s="122">
        <f t="shared" si="8"/>
        <v>48443.6</v>
      </c>
      <c r="L18" s="229">
        <v>14361.87</v>
      </c>
      <c r="M18" s="122">
        <f>L18*H18-0.01</f>
        <v>6893.69</v>
      </c>
      <c r="N18" s="154"/>
      <c r="O18" s="110">
        <f>N18*$H18</f>
        <v>0</v>
      </c>
      <c r="P18" s="251">
        <v>25043.37</v>
      </c>
      <c r="Q18" s="252">
        <f t="shared" ref="Q18:Q22" si="16">P18*$H18</f>
        <v>12020.82</v>
      </c>
      <c r="R18" s="154"/>
      <c r="S18" s="122">
        <f t="shared" ref="S18" si="17">R18*$H18</f>
        <v>0</v>
      </c>
      <c r="T18" s="275">
        <v>61518.93</v>
      </c>
      <c r="U18" s="258">
        <f t="shared" ref="U18:U31" si="18">T18*$H18</f>
        <v>29529.09</v>
      </c>
      <c r="V18" s="268"/>
      <c r="W18" s="258">
        <f t="shared" ref="W18:W31" si="19">V18*$H18</f>
        <v>0</v>
      </c>
      <c r="X18" s="268"/>
      <c r="Y18" s="258">
        <f t="shared" si="10"/>
        <v>0</v>
      </c>
      <c r="Z18" s="125">
        <f t="shared" si="11"/>
        <v>81119.38</v>
      </c>
      <c r="AA18" s="126">
        <f t="shared" si="12"/>
        <v>38937.300000000003</v>
      </c>
      <c r="AB18" s="127">
        <f t="shared" si="13"/>
        <v>0.5544</v>
      </c>
      <c r="AC18" s="51" t="b">
        <f t="shared" si="14"/>
        <v>1</v>
      </c>
      <c r="AD18" s="54">
        <f>I18-(K18+AA18)</f>
        <v>0</v>
      </c>
      <c r="AE18" s="51" t="b">
        <f t="shared" si="15"/>
        <v>1</v>
      </c>
      <c r="AF18" s="52">
        <f t="shared" si="1"/>
        <v>0</v>
      </c>
    </row>
    <row r="19" spans="1:33" s="53" customFormat="1" ht="39.950000000000003" customHeight="1" x14ac:dyDescent="0.25">
      <c r="B19" s="116" t="s">
        <v>37</v>
      </c>
      <c r="C19" s="198" t="s">
        <v>184</v>
      </c>
      <c r="D19" s="198" t="s">
        <v>192</v>
      </c>
      <c r="E19" s="128" t="s">
        <v>123</v>
      </c>
      <c r="F19" s="146" t="s">
        <v>4</v>
      </c>
      <c r="G19" s="147">
        <v>18204.36</v>
      </c>
      <c r="H19" s="120">
        <v>23.33</v>
      </c>
      <c r="I19" s="112">
        <f t="shared" si="7"/>
        <v>424707.72</v>
      </c>
      <c r="J19" s="121">
        <f t="shared" si="8"/>
        <v>13692.75</v>
      </c>
      <c r="K19" s="122">
        <f t="shared" si="8"/>
        <v>319451.86</v>
      </c>
      <c r="L19" s="229"/>
      <c r="M19" s="122">
        <f t="shared" si="9"/>
        <v>0</v>
      </c>
      <c r="N19" s="108"/>
      <c r="O19" s="110">
        <f>N19*$H19</f>
        <v>0</v>
      </c>
      <c r="P19" s="253">
        <v>2920.54</v>
      </c>
      <c r="Q19" s="252">
        <f t="shared" si="16"/>
        <v>68136.2</v>
      </c>
      <c r="R19" s="108">
        <v>3587.71</v>
      </c>
      <c r="S19" s="122">
        <f>R19*$H19</f>
        <v>83701.27</v>
      </c>
      <c r="T19" s="275">
        <v>2725.88</v>
      </c>
      <c r="U19" s="258">
        <f t="shared" ref="U19:U25" si="20">T19*$H19</f>
        <v>63594.78</v>
      </c>
      <c r="V19" s="268">
        <v>3705.31</v>
      </c>
      <c r="W19" s="258">
        <f>V19*$H19+0.01</f>
        <v>86444.89</v>
      </c>
      <c r="X19" s="268">
        <v>753.31</v>
      </c>
      <c r="Y19" s="258">
        <f>X19*$H19</f>
        <v>17574.72</v>
      </c>
      <c r="Z19" s="125">
        <f>G19-J19</f>
        <v>4511.6099999999997</v>
      </c>
      <c r="AA19" s="126">
        <f t="shared" si="12"/>
        <v>105255.86</v>
      </c>
      <c r="AB19" s="149">
        <f t="shared" si="13"/>
        <v>0.75217000000000001</v>
      </c>
      <c r="AC19" s="51" t="b">
        <f t="shared" si="14"/>
        <v>1</v>
      </c>
      <c r="AD19" s="54">
        <f>I19-(K19+AA19)</f>
        <v>0</v>
      </c>
      <c r="AE19" s="51" t="b">
        <f t="shared" si="15"/>
        <v>1</v>
      </c>
      <c r="AF19" s="52"/>
    </row>
    <row r="20" spans="1:33" s="53" customFormat="1" ht="39.950000000000003" customHeight="1" x14ac:dyDescent="0.25">
      <c r="B20" s="116" t="s">
        <v>109</v>
      </c>
      <c r="C20" s="198" t="s">
        <v>184</v>
      </c>
      <c r="D20" s="198" t="s">
        <v>193</v>
      </c>
      <c r="E20" s="128" t="s">
        <v>124</v>
      </c>
      <c r="F20" s="146" t="s">
        <v>4</v>
      </c>
      <c r="G20" s="147">
        <v>200247.91</v>
      </c>
      <c r="H20" s="120">
        <v>7.68</v>
      </c>
      <c r="I20" s="112">
        <f t="shared" si="7"/>
        <v>1537903.95</v>
      </c>
      <c r="J20" s="121">
        <f t="shared" si="8"/>
        <v>167672.34</v>
      </c>
      <c r="K20" s="122">
        <f t="shared" si="8"/>
        <v>1287723.57</v>
      </c>
      <c r="L20" s="229">
        <v>14361.87</v>
      </c>
      <c r="M20" s="122">
        <f t="shared" si="9"/>
        <v>110299.16</v>
      </c>
      <c r="N20" s="108">
        <v>12032.52</v>
      </c>
      <c r="O20" s="110">
        <f>N20*$H20+0.01</f>
        <v>92409.76</v>
      </c>
      <c r="P20" s="253">
        <v>35226.769999999997</v>
      </c>
      <c r="Q20" s="252">
        <f>P20*$H20</f>
        <v>270541.59000000003</v>
      </c>
      <c r="R20" s="108">
        <v>22350.6</v>
      </c>
      <c r="S20" s="122">
        <f>R20*$H20</f>
        <v>171652.61</v>
      </c>
      <c r="T20" s="275">
        <v>28543.279999999999</v>
      </c>
      <c r="U20" s="258">
        <f t="shared" si="20"/>
        <v>219212.39</v>
      </c>
      <c r="V20" s="268">
        <v>25341.96</v>
      </c>
      <c r="W20" s="258">
        <f t="shared" si="19"/>
        <v>194626.25</v>
      </c>
      <c r="X20" s="268">
        <v>29815.34</v>
      </c>
      <c r="Y20" s="258">
        <f t="shared" si="10"/>
        <v>228981.81</v>
      </c>
      <c r="Z20" s="125">
        <f>G20-J20</f>
        <v>32575.57</v>
      </c>
      <c r="AA20" s="126">
        <f t="shared" si="12"/>
        <v>250180.38</v>
      </c>
      <c r="AB20" s="149">
        <f t="shared" si="13"/>
        <v>0.83731999999999995</v>
      </c>
      <c r="AC20" s="51" t="b">
        <f t="shared" si="14"/>
        <v>1</v>
      </c>
      <c r="AD20" s="54">
        <f>I20-(K20+AA20)</f>
        <v>0</v>
      </c>
      <c r="AE20" s="51" t="b">
        <f t="shared" si="15"/>
        <v>1</v>
      </c>
      <c r="AF20" s="52"/>
    </row>
    <row r="21" spans="1:33" s="53" customFormat="1" ht="39.950000000000003" customHeight="1" x14ac:dyDescent="0.25">
      <c r="B21" s="116" t="s">
        <v>110</v>
      </c>
      <c r="C21" s="198" t="s">
        <v>184</v>
      </c>
      <c r="D21" s="198" t="s">
        <v>194</v>
      </c>
      <c r="E21" s="128" t="s">
        <v>125</v>
      </c>
      <c r="F21" s="146" t="s">
        <v>4</v>
      </c>
      <c r="G21" s="147">
        <v>18204.36</v>
      </c>
      <c r="H21" s="120">
        <v>15.49</v>
      </c>
      <c r="I21" s="112">
        <f t="shared" si="7"/>
        <v>281985.53999999998</v>
      </c>
      <c r="J21" s="121">
        <f t="shared" si="8"/>
        <v>14757.98</v>
      </c>
      <c r="K21" s="122">
        <f t="shared" si="8"/>
        <v>228601.11</v>
      </c>
      <c r="L21" s="229">
        <v>377.5</v>
      </c>
      <c r="M21" s="122">
        <f t="shared" si="9"/>
        <v>5847.48</v>
      </c>
      <c r="N21" s="108">
        <v>1471.56</v>
      </c>
      <c r="O21" s="110">
        <f t="shared" ref="O21:O22" si="21">N21*$H21</f>
        <v>22794.46</v>
      </c>
      <c r="P21" s="253">
        <v>2136.71</v>
      </c>
      <c r="Q21" s="252">
        <f t="shared" si="16"/>
        <v>33097.64</v>
      </c>
      <c r="R21" s="108">
        <v>3587.71</v>
      </c>
      <c r="S21" s="122">
        <f>R21*$H21</f>
        <v>55573.63</v>
      </c>
      <c r="T21" s="275">
        <v>2725.88</v>
      </c>
      <c r="U21" s="258">
        <f t="shared" si="20"/>
        <v>42223.88</v>
      </c>
      <c r="V21" s="268">
        <v>3705.31</v>
      </c>
      <c r="W21" s="258">
        <f t="shared" si="19"/>
        <v>57395.25</v>
      </c>
      <c r="X21" s="268">
        <v>753.31</v>
      </c>
      <c r="Y21" s="258">
        <f>X21*$H21</f>
        <v>11668.77</v>
      </c>
      <c r="Z21" s="125">
        <f t="shared" si="11"/>
        <v>3446.38</v>
      </c>
      <c r="AA21" s="126">
        <f t="shared" si="12"/>
        <v>53384.43</v>
      </c>
      <c r="AB21" s="149">
        <f t="shared" si="13"/>
        <v>0.81067999999999996</v>
      </c>
      <c r="AC21" s="51" t="b">
        <f t="shared" si="14"/>
        <v>1</v>
      </c>
      <c r="AD21" s="54">
        <f>I21-(K21+AA21)</f>
        <v>0</v>
      </c>
      <c r="AE21" s="51" t="b">
        <f t="shared" si="15"/>
        <v>1</v>
      </c>
      <c r="AF21" s="52"/>
    </row>
    <row r="22" spans="1:33" s="53" customFormat="1" ht="39.950000000000003" customHeight="1" x14ac:dyDescent="0.25">
      <c r="B22" s="116" t="s">
        <v>111</v>
      </c>
      <c r="C22" s="198" t="s">
        <v>189</v>
      </c>
      <c r="D22" s="198" t="s">
        <v>195</v>
      </c>
      <c r="E22" s="128" t="s">
        <v>126</v>
      </c>
      <c r="F22" s="146" t="s">
        <v>4</v>
      </c>
      <c r="G22" s="147">
        <v>18204.36</v>
      </c>
      <c r="H22" s="120">
        <v>102.3</v>
      </c>
      <c r="I22" s="112">
        <f t="shared" si="7"/>
        <v>1862306.03</v>
      </c>
      <c r="J22" s="121">
        <f t="shared" si="8"/>
        <v>14757.98</v>
      </c>
      <c r="K22" s="122">
        <f t="shared" si="8"/>
        <v>1509741.36</v>
      </c>
      <c r="L22" s="229">
        <v>377.5</v>
      </c>
      <c r="M22" s="122">
        <f t="shared" si="9"/>
        <v>38618.25</v>
      </c>
      <c r="N22" s="154">
        <v>1471.56</v>
      </c>
      <c r="O22" s="110">
        <f t="shared" si="21"/>
        <v>150540.59</v>
      </c>
      <c r="P22" s="253">
        <v>2136.71</v>
      </c>
      <c r="Q22" s="252">
        <f t="shared" si="16"/>
        <v>218585.43</v>
      </c>
      <c r="R22" s="108">
        <v>3587.71</v>
      </c>
      <c r="S22" s="122">
        <f>R22*$H22+0.01</f>
        <v>367022.74</v>
      </c>
      <c r="T22" s="275">
        <v>2725.88</v>
      </c>
      <c r="U22" s="258">
        <f t="shared" si="20"/>
        <v>278857.52</v>
      </c>
      <c r="V22" s="268">
        <v>3705.31</v>
      </c>
      <c r="W22" s="258">
        <f t="shared" si="19"/>
        <v>379053.21</v>
      </c>
      <c r="X22" s="268">
        <v>753.31</v>
      </c>
      <c r="Y22" s="258">
        <f>X22*$H22+0.01</f>
        <v>77063.62</v>
      </c>
      <c r="Z22" s="125">
        <f>G22-J22</f>
        <v>3446.38</v>
      </c>
      <c r="AA22" s="126">
        <f t="shared" si="12"/>
        <v>352564.67</v>
      </c>
      <c r="AB22" s="149">
        <f t="shared" si="13"/>
        <v>0.81067999999999996</v>
      </c>
      <c r="AC22" s="51" t="b">
        <f t="shared" si="14"/>
        <v>1</v>
      </c>
      <c r="AD22" s="54">
        <f t="shared" ref="AD22:AD31" si="22">I22-(K22+AA22)</f>
        <v>0</v>
      </c>
      <c r="AE22" s="51" t="b">
        <f t="shared" si="15"/>
        <v>1</v>
      </c>
      <c r="AF22" s="52">
        <f>G22-(J22+Z22)</f>
        <v>0</v>
      </c>
    </row>
    <row r="23" spans="1:33" s="53" customFormat="1" ht="126" customHeight="1" x14ac:dyDescent="0.25">
      <c r="B23" s="116" t="s">
        <v>113</v>
      </c>
      <c r="C23" s="198" t="s">
        <v>184</v>
      </c>
      <c r="D23" s="198" t="s">
        <v>196</v>
      </c>
      <c r="E23" s="128" t="s">
        <v>127</v>
      </c>
      <c r="F23" s="146" t="s">
        <v>3</v>
      </c>
      <c r="G23" s="147">
        <v>3640.87</v>
      </c>
      <c r="H23" s="120">
        <v>669.89</v>
      </c>
      <c r="I23" s="112">
        <f t="shared" si="0"/>
        <v>2438982.4</v>
      </c>
      <c r="J23" s="121">
        <f t="shared" si="8"/>
        <v>3188.92</v>
      </c>
      <c r="K23" s="122">
        <f t="shared" si="8"/>
        <v>2136225.61</v>
      </c>
      <c r="L23" s="229"/>
      <c r="M23" s="122">
        <f>L23*H23</f>
        <v>0</v>
      </c>
      <c r="N23" s="154">
        <v>357.54</v>
      </c>
      <c r="O23" s="110">
        <f>N23*$H23</f>
        <v>239512.47</v>
      </c>
      <c r="P23" s="251">
        <v>487.61</v>
      </c>
      <c r="Q23" s="252">
        <f t="shared" ref="Q23:Q31" si="23">P23*$H23</f>
        <v>326645.06</v>
      </c>
      <c r="R23" s="154">
        <v>789.7</v>
      </c>
      <c r="S23" s="122">
        <f t="shared" ref="S23:S31" si="24">R23*$H23</f>
        <v>529012.13</v>
      </c>
      <c r="T23" s="275">
        <v>600.21</v>
      </c>
      <c r="U23" s="258">
        <f t="shared" si="20"/>
        <v>402074.68</v>
      </c>
      <c r="V23" s="268">
        <v>788.43</v>
      </c>
      <c r="W23" s="258">
        <f t="shared" si="19"/>
        <v>528161.37</v>
      </c>
      <c r="X23" s="268">
        <v>165.43</v>
      </c>
      <c r="Y23" s="258">
        <f t="shared" si="10"/>
        <v>110819.9</v>
      </c>
      <c r="Z23" s="125">
        <f t="shared" si="11"/>
        <v>451.95</v>
      </c>
      <c r="AA23" s="126">
        <f t="shared" si="12"/>
        <v>302756.78999999998</v>
      </c>
      <c r="AB23" s="127">
        <f t="shared" si="13"/>
        <v>0.87587000000000004</v>
      </c>
      <c r="AC23" s="51" t="b">
        <f t="shared" si="14"/>
        <v>1</v>
      </c>
      <c r="AD23" s="54">
        <f t="shared" si="22"/>
        <v>0</v>
      </c>
      <c r="AE23" s="51" t="b">
        <f t="shared" si="15"/>
        <v>1</v>
      </c>
      <c r="AF23" s="52">
        <f>G23-(J23+Z23)</f>
        <v>0</v>
      </c>
    </row>
    <row r="24" spans="1:33" s="53" customFormat="1" ht="39.950000000000003" customHeight="1" x14ac:dyDescent="0.25">
      <c r="B24" s="116" t="s">
        <v>114</v>
      </c>
      <c r="C24" s="198" t="s">
        <v>184</v>
      </c>
      <c r="D24" s="198" t="s">
        <v>197</v>
      </c>
      <c r="E24" s="128" t="s">
        <v>22</v>
      </c>
      <c r="F24" s="146" t="s">
        <v>3</v>
      </c>
      <c r="G24" s="147">
        <v>3640.87</v>
      </c>
      <c r="H24" s="120">
        <v>27.84</v>
      </c>
      <c r="I24" s="112">
        <f t="shared" si="0"/>
        <v>101361.82</v>
      </c>
      <c r="J24" s="121">
        <f t="shared" si="8"/>
        <v>3188.92</v>
      </c>
      <c r="K24" s="122">
        <f t="shared" si="8"/>
        <v>88779.53</v>
      </c>
      <c r="L24" s="229"/>
      <c r="M24" s="122">
        <f t="shared" ref="M24:M31" si="25">L24*H24</f>
        <v>0</v>
      </c>
      <c r="N24" s="154">
        <v>357.54</v>
      </c>
      <c r="O24" s="110">
        <f t="shared" ref="O24:O31" si="26">N24*$H24</f>
        <v>9953.91</v>
      </c>
      <c r="P24" s="251">
        <v>487.61</v>
      </c>
      <c r="Q24" s="252">
        <f>P24*$H24+0.01</f>
        <v>13575.07</v>
      </c>
      <c r="R24" s="154">
        <v>789.7</v>
      </c>
      <c r="S24" s="122">
        <f>R24*$H24-0.01</f>
        <v>21985.24</v>
      </c>
      <c r="T24" s="275">
        <v>600.21</v>
      </c>
      <c r="U24" s="258">
        <f t="shared" si="20"/>
        <v>16709.849999999999</v>
      </c>
      <c r="V24" s="268">
        <v>788.43</v>
      </c>
      <c r="W24" s="258">
        <f t="shared" si="19"/>
        <v>21949.89</v>
      </c>
      <c r="X24" s="268">
        <v>165.43</v>
      </c>
      <c r="Y24" s="258">
        <f t="shared" si="10"/>
        <v>4605.57</v>
      </c>
      <c r="Z24" s="125">
        <f t="shared" si="11"/>
        <v>451.95</v>
      </c>
      <c r="AA24" s="126">
        <f t="shared" si="12"/>
        <v>12582.29</v>
      </c>
      <c r="AB24" s="127">
        <f t="shared" si="13"/>
        <v>0.87587000000000004</v>
      </c>
      <c r="AC24" s="51" t="b">
        <f t="shared" si="14"/>
        <v>1</v>
      </c>
      <c r="AD24" s="54">
        <f t="shared" si="22"/>
        <v>0</v>
      </c>
      <c r="AE24" s="51" t="b">
        <f t="shared" si="15"/>
        <v>1</v>
      </c>
      <c r="AF24" s="52">
        <f>G24-(J24+Z24)</f>
        <v>0</v>
      </c>
    </row>
    <row r="25" spans="1:33" s="53" customFormat="1" ht="39.950000000000003" customHeight="1" x14ac:dyDescent="0.25">
      <c r="B25" s="116" t="s">
        <v>115</v>
      </c>
      <c r="C25" s="198" t="s">
        <v>184</v>
      </c>
      <c r="D25" s="198" t="s">
        <v>198</v>
      </c>
      <c r="E25" s="128" t="s">
        <v>128</v>
      </c>
      <c r="F25" s="146" t="s">
        <v>3</v>
      </c>
      <c r="G25" s="147">
        <v>3640.87</v>
      </c>
      <c r="H25" s="120">
        <v>20.100000000000001</v>
      </c>
      <c r="I25" s="112">
        <f t="shared" si="0"/>
        <v>73181.490000000005</v>
      </c>
      <c r="J25" s="121">
        <f t="shared" si="8"/>
        <v>3188.92</v>
      </c>
      <c r="K25" s="122">
        <f t="shared" si="8"/>
        <v>64097.29</v>
      </c>
      <c r="L25" s="229"/>
      <c r="M25" s="122">
        <f t="shared" si="25"/>
        <v>0</v>
      </c>
      <c r="N25" s="108">
        <v>357.54</v>
      </c>
      <c r="O25" s="110">
        <f>N25*$H25+0.01</f>
        <v>7186.56</v>
      </c>
      <c r="P25" s="251">
        <v>487.61</v>
      </c>
      <c r="Q25" s="252">
        <f>P25*$H25</f>
        <v>9800.9599999999991</v>
      </c>
      <c r="R25" s="154">
        <v>789.7</v>
      </c>
      <c r="S25" s="122">
        <f t="shared" si="24"/>
        <v>15872.97</v>
      </c>
      <c r="T25" s="275">
        <v>600.21</v>
      </c>
      <c r="U25" s="258">
        <f t="shared" si="20"/>
        <v>12064.22</v>
      </c>
      <c r="V25" s="268">
        <v>788.43</v>
      </c>
      <c r="W25" s="258">
        <f>V25*$H25</f>
        <v>15847.44</v>
      </c>
      <c r="X25" s="268">
        <v>165.43</v>
      </c>
      <c r="Y25" s="258">
        <f t="shared" si="10"/>
        <v>3325.14</v>
      </c>
      <c r="Z25" s="125">
        <f t="shared" si="11"/>
        <v>451.95</v>
      </c>
      <c r="AA25" s="126">
        <f t="shared" si="12"/>
        <v>9084.2000000000007</v>
      </c>
      <c r="AB25" s="149">
        <f t="shared" si="13"/>
        <v>0.87587000000000004</v>
      </c>
      <c r="AC25" s="51" t="b">
        <f t="shared" si="14"/>
        <v>1</v>
      </c>
      <c r="AD25" s="54">
        <f t="shared" si="22"/>
        <v>0</v>
      </c>
      <c r="AE25" s="51" t="b">
        <f t="shared" si="15"/>
        <v>1</v>
      </c>
      <c r="AF25" s="52"/>
    </row>
    <row r="26" spans="1:33" s="53" customFormat="1" ht="39.950000000000003" customHeight="1" x14ac:dyDescent="0.25">
      <c r="B26" s="116" t="s">
        <v>116</v>
      </c>
      <c r="C26" s="198" t="s">
        <v>184</v>
      </c>
      <c r="D26" s="198" t="s">
        <v>199</v>
      </c>
      <c r="E26" s="128" t="s">
        <v>129</v>
      </c>
      <c r="F26" s="146" t="s">
        <v>6</v>
      </c>
      <c r="G26" s="147">
        <v>18204.349999999999</v>
      </c>
      <c r="H26" s="120">
        <v>3.67</v>
      </c>
      <c r="I26" s="112">
        <f t="shared" si="0"/>
        <v>66809.960000000006</v>
      </c>
      <c r="J26" s="121">
        <f t="shared" si="8"/>
        <v>17465.330000000002</v>
      </c>
      <c r="K26" s="122">
        <f t="shared" si="8"/>
        <v>64097.760000000002</v>
      </c>
      <c r="L26" s="229"/>
      <c r="M26" s="122">
        <f>L26*H26</f>
        <v>0</v>
      </c>
      <c r="N26" s="108">
        <v>2569.21</v>
      </c>
      <c r="O26" s="110">
        <f>N26*$H26</f>
        <v>9429</v>
      </c>
      <c r="P26" s="253">
        <v>5496.42</v>
      </c>
      <c r="Q26" s="252">
        <f>P26*$H26</f>
        <v>20171.86</v>
      </c>
      <c r="R26" s="108">
        <v>9399.7000000000007</v>
      </c>
      <c r="S26" s="122">
        <f>R26*$H26</f>
        <v>34496.9</v>
      </c>
      <c r="T26" s="275"/>
      <c r="U26" s="258">
        <f t="shared" si="18"/>
        <v>0</v>
      </c>
      <c r="V26" s="268"/>
      <c r="W26" s="258">
        <f t="shared" si="19"/>
        <v>0</v>
      </c>
      <c r="X26" s="268"/>
      <c r="Y26" s="258">
        <f t="shared" si="10"/>
        <v>0</v>
      </c>
      <c r="Z26" s="125">
        <f t="shared" si="11"/>
        <v>739.02</v>
      </c>
      <c r="AA26" s="126">
        <f t="shared" si="12"/>
        <v>2712.2</v>
      </c>
      <c r="AB26" s="149">
        <f t="shared" si="13"/>
        <v>0.95940000000000003</v>
      </c>
      <c r="AC26" s="51" t="b">
        <f t="shared" si="14"/>
        <v>1</v>
      </c>
      <c r="AD26" s="54">
        <f t="shared" si="22"/>
        <v>0</v>
      </c>
      <c r="AE26" s="51" t="b">
        <f t="shared" si="15"/>
        <v>1</v>
      </c>
      <c r="AF26" s="52"/>
    </row>
    <row r="27" spans="1:33" s="53" customFormat="1" ht="39.950000000000003" customHeight="1" x14ac:dyDescent="0.25">
      <c r="B27" s="116" t="s">
        <v>117</v>
      </c>
      <c r="C27" s="198" t="s">
        <v>184</v>
      </c>
      <c r="D27" s="198" t="s">
        <v>200</v>
      </c>
      <c r="E27" s="128" t="s">
        <v>130</v>
      </c>
      <c r="F27" s="146" t="s">
        <v>3</v>
      </c>
      <c r="G27" s="147">
        <v>7281.74</v>
      </c>
      <c r="H27" s="120">
        <v>1539.93</v>
      </c>
      <c r="I27" s="112">
        <f t="shared" si="0"/>
        <v>11213369.880000001</v>
      </c>
      <c r="J27" s="121">
        <f t="shared" si="8"/>
        <v>6115.67</v>
      </c>
      <c r="K27" s="122">
        <f t="shared" si="8"/>
        <v>9417703.6999999993</v>
      </c>
      <c r="L27" s="229">
        <v>574.48</v>
      </c>
      <c r="M27" s="122">
        <f t="shared" si="25"/>
        <v>884658.99</v>
      </c>
      <c r="N27" s="108">
        <v>891.8</v>
      </c>
      <c r="O27" s="110">
        <f t="shared" si="26"/>
        <v>1373309.57</v>
      </c>
      <c r="P27" s="253">
        <v>796.22</v>
      </c>
      <c r="Q27" s="252">
        <f>P27*$H27+0.01</f>
        <v>1226123.07</v>
      </c>
      <c r="R27" s="108">
        <v>769.97</v>
      </c>
      <c r="S27" s="122">
        <f t="shared" si="24"/>
        <v>1185699.8999999999</v>
      </c>
      <c r="T27" s="275">
        <v>1055.25</v>
      </c>
      <c r="U27" s="258">
        <f>T27*$H27</f>
        <v>1625011.13</v>
      </c>
      <c r="V27" s="268">
        <v>865.47</v>
      </c>
      <c r="W27" s="258">
        <f t="shared" si="19"/>
        <v>1332763.22</v>
      </c>
      <c r="X27" s="268">
        <v>1162.48</v>
      </c>
      <c r="Y27" s="258">
        <f>X27*$H27-0.01</f>
        <v>1790137.82</v>
      </c>
      <c r="Z27" s="125">
        <f t="shared" si="11"/>
        <v>1166.07</v>
      </c>
      <c r="AA27" s="126">
        <f t="shared" si="12"/>
        <v>1795666.18</v>
      </c>
      <c r="AB27" s="149">
        <f t="shared" si="13"/>
        <v>0.83986000000000005</v>
      </c>
      <c r="AC27" s="51" t="b">
        <f t="shared" si="14"/>
        <v>1</v>
      </c>
      <c r="AD27" s="54">
        <f t="shared" si="22"/>
        <v>0</v>
      </c>
      <c r="AE27" s="51" t="b">
        <f t="shared" si="15"/>
        <v>1</v>
      </c>
      <c r="AF27" s="52"/>
    </row>
    <row r="28" spans="1:33" s="53" customFormat="1" ht="39.950000000000003" customHeight="1" x14ac:dyDescent="0.25">
      <c r="B28" s="116" t="s">
        <v>118</v>
      </c>
      <c r="C28" s="198" t="s">
        <v>184</v>
      </c>
      <c r="D28" s="198" t="s">
        <v>201</v>
      </c>
      <c r="E28" s="128" t="s">
        <v>131</v>
      </c>
      <c r="F28" s="146" t="s">
        <v>3</v>
      </c>
      <c r="G28" s="147">
        <v>7281.74</v>
      </c>
      <c r="H28" s="120">
        <v>20.76</v>
      </c>
      <c r="I28" s="112">
        <f t="shared" si="0"/>
        <v>151168.92000000001</v>
      </c>
      <c r="J28" s="121">
        <f t="shared" si="8"/>
        <v>6115.67</v>
      </c>
      <c r="K28" s="122">
        <f t="shared" si="8"/>
        <v>126961.31</v>
      </c>
      <c r="L28" s="229">
        <v>574.48</v>
      </c>
      <c r="M28" s="122">
        <f t="shared" si="25"/>
        <v>11926.2</v>
      </c>
      <c r="N28" s="108">
        <v>891.8</v>
      </c>
      <c r="O28" s="110">
        <f>N28*$H28</f>
        <v>18513.77</v>
      </c>
      <c r="P28" s="253">
        <v>796.22</v>
      </c>
      <c r="Q28" s="252">
        <f t="shared" si="23"/>
        <v>16529.53</v>
      </c>
      <c r="R28" s="108">
        <v>769.97</v>
      </c>
      <c r="S28" s="122">
        <f>R28*$H28-0.01</f>
        <v>15984.57</v>
      </c>
      <c r="T28" s="275">
        <v>1055.25</v>
      </c>
      <c r="U28" s="258">
        <f>T28*$H28</f>
        <v>21906.99</v>
      </c>
      <c r="V28" s="268">
        <v>865.47</v>
      </c>
      <c r="W28" s="258">
        <f t="shared" si="19"/>
        <v>17967.16</v>
      </c>
      <c r="X28" s="268">
        <v>1162.48</v>
      </c>
      <c r="Y28" s="258">
        <f>X28*$H28+0.01</f>
        <v>24133.09</v>
      </c>
      <c r="Z28" s="125">
        <f t="shared" si="11"/>
        <v>1166.07</v>
      </c>
      <c r="AA28" s="126">
        <f t="shared" si="12"/>
        <v>24207.61</v>
      </c>
      <c r="AB28" s="150">
        <f t="shared" si="13"/>
        <v>0.83986000000000005</v>
      </c>
      <c r="AC28" s="51" t="b">
        <f t="shared" si="14"/>
        <v>1</v>
      </c>
      <c r="AD28" s="54">
        <f t="shared" si="22"/>
        <v>0</v>
      </c>
      <c r="AE28" s="51" t="b">
        <f t="shared" si="15"/>
        <v>1</v>
      </c>
      <c r="AF28" s="52"/>
    </row>
    <row r="29" spans="1:33" s="53" customFormat="1" ht="39.950000000000003" customHeight="1" x14ac:dyDescent="0.25">
      <c r="B29" s="116" t="s">
        <v>119</v>
      </c>
      <c r="C29" s="198" t="s">
        <v>184</v>
      </c>
      <c r="D29" s="198" t="s">
        <v>199</v>
      </c>
      <c r="E29" s="128" t="s">
        <v>132</v>
      </c>
      <c r="F29" s="146" t="s">
        <v>6</v>
      </c>
      <c r="G29" s="147">
        <v>131071.32</v>
      </c>
      <c r="H29" s="120">
        <v>3.67</v>
      </c>
      <c r="I29" s="112">
        <f t="shared" si="0"/>
        <v>481031.74</v>
      </c>
      <c r="J29" s="121">
        <f t="shared" si="8"/>
        <v>50020.21</v>
      </c>
      <c r="K29" s="122">
        <f t="shared" si="8"/>
        <v>183574.17</v>
      </c>
      <c r="L29" s="229">
        <v>3868.17</v>
      </c>
      <c r="M29" s="122">
        <f>L29*H29</f>
        <v>14196.18</v>
      </c>
      <c r="N29" s="108">
        <v>11938.86</v>
      </c>
      <c r="O29" s="110">
        <f>N29*$H29-0.01</f>
        <v>43815.61</v>
      </c>
      <c r="P29" s="253">
        <v>10868.28</v>
      </c>
      <c r="Q29" s="252">
        <f>P29*$H29</f>
        <v>39886.589999999997</v>
      </c>
      <c r="R29" s="108">
        <v>5889.9</v>
      </c>
      <c r="S29" s="122">
        <f t="shared" si="24"/>
        <v>21615.93</v>
      </c>
      <c r="T29" s="275">
        <v>10868.84</v>
      </c>
      <c r="U29" s="258">
        <f>T29*$H29+0.01</f>
        <v>39888.65</v>
      </c>
      <c r="V29" s="268">
        <v>4244.8100000000004</v>
      </c>
      <c r="W29" s="258">
        <f>V29*$H29</f>
        <v>15578.45</v>
      </c>
      <c r="X29" s="268">
        <v>2341.35</v>
      </c>
      <c r="Y29" s="258">
        <f>X29*$H29+0.01</f>
        <v>8592.76</v>
      </c>
      <c r="Z29" s="125">
        <f t="shared" si="11"/>
        <v>81051.11</v>
      </c>
      <c r="AA29" s="126">
        <f t="shared" si="12"/>
        <v>297457.57</v>
      </c>
      <c r="AB29" s="150">
        <f t="shared" si="13"/>
        <v>0.38163000000000002</v>
      </c>
      <c r="AC29" s="51" t="b">
        <f t="shared" si="14"/>
        <v>1</v>
      </c>
      <c r="AD29" s="54">
        <f>I29-(K29+AA29)</f>
        <v>0</v>
      </c>
      <c r="AE29" s="51" t="b">
        <f t="shared" si="15"/>
        <v>1</v>
      </c>
      <c r="AF29" s="52"/>
    </row>
    <row r="30" spans="1:33" s="53" customFormat="1" ht="39.950000000000003" customHeight="1" x14ac:dyDescent="0.25">
      <c r="A30" s="49"/>
      <c r="B30" s="107" t="s">
        <v>120</v>
      </c>
      <c r="C30" s="198" t="s">
        <v>184</v>
      </c>
      <c r="D30" s="198" t="s">
        <v>202</v>
      </c>
      <c r="E30" s="128" t="s">
        <v>133</v>
      </c>
      <c r="F30" s="146" t="s">
        <v>135</v>
      </c>
      <c r="G30" s="236">
        <v>228</v>
      </c>
      <c r="H30" s="237">
        <v>154.97999999999999</v>
      </c>
      <c r="I30" s="109">
        <f t="shared" ref="I30" si="27">G30*H30</f>
        <v>35335.440000000002</v>
      </c>
      <c r="J30" s="121">
        <f t="shared" si="8"/>
        <v>75</v>
      </c>
      <c r="K30" s="122">
        <f t="shared" si="8"/>
        <v>11623.5</v>
      </c>
      <c r="L30" s="229"/>
      <c r="M30" s="110">
        <f t="shared" ref="M30" si="28">L30*H30</f>
        <v>0</v>
      </c>
      <c r="N30" s="154">
        <v>1</v>
      </c>
      <c r="O30" s="110">
        <f t="shared" ref="O30" si="29">N30*$H30</f>
        <v>154.97999999999999</v>
      </c>
      <c r="P30" s="251"/>
      <c r="Q30" s="252">
        <f t="shared" ref="Q30" si="30">P30*$H30</f>
        <v>0</v>
      </c>
      <c r="R30" s="154">
        <v>40</v>
      </c>
      <c r="S30" s="110">
        <f t="shared" ref="S30" si="31">R30*$H30</f>
        <v>6199.2</v>
      </c>
      <c r="T30" s="275">
        <v>11</v>
      </c>
      <c r="U30" s="258">
        <f t="shared" si="18"/>
        <v>1704.78</v>
      </c>
      <c r="V30" s="268">
        <v>19</v>
      </c>
      <c r="W30" s="258">
        <f t="shared" si="19"/>
        <v>2944.62</v>
      </c>
      <c r="X30" s="268">
        <v>4</v>
      </c>
      <c r="Y30" s="258">
        <f t="shared" si="10"/>
        <v>619.91999999999996</v>
      </c>
      <c r="Z30" s="214">
        <f t="shared" si="11"/>
        <v>153</v>
      </c>
      <c r="AA30" s="234">
        <f t="shared" si="12"/>
        <v>23711.94</v>
      </c>
      <c r="AB30" s="150">
        <f t="shared" si="13"/>
        <v>0.32895000000000002</v>
      </c>
      <c r="AC30" s="51" t="b">
        <f t="shared" si="14"/>
        <v>1</v>
      </c>
      <c r="AD30" s="54">
        <f t="shared" si="22"/>
        <v>0</v>
      </c>
      <c r="AE30" s="51" t="b">
        <f t="shared" si="15"/>
        <v>1</v>
      </c>
      <c r="AF30" s="52">
        <f t="shared" ref="AF30:AF53" si="32">G30-(J30+Z30)</f>
        <v>0</v>
      </c>
    </row>
    <row r="31" spans="1:33" s="53" customFormat="1" ht="39.950000000000003" customHeight="1" x14ac:dyDescent="0.25">
      <c r="B31" s="116" t="s">
        <v>121</v>
      </c>
      <c r="C31" s="198" t="s">
        <v>184</v>
      </c>
      <c r="D31" s="198" t="s">
        <v>203</v>
      </c>
      <c r="E31" s="128" t="s">
        <v>134</v>
      </c>
      <c r="F31" s="146" t="s">
        <v>21</v>
      </c>
      <c r="G31" s="147">
        <v>228</v>
      </c>
      <c r="H31" s="120">
        <v>118.07</v>
      </c>
      <c r="I31" s="112">
        <f t="shared" si="0"/>
        <v>26919.96</v>
      </c>
      <c r="J31" s="121">
        <f t="shared" si="8"/>
        <v>75</v>
      </c>
      <c r="K31" s="122">
        <f t="shared" si="8"/>
        <v>8855.25</v>
      </c>
      <c r="L31" s="229"/>
      <c r="M31" s="122">
        <f t="shared" si="25"/>
        <v>0</v>
      </c>
      <c r="N31" s="154"/>
      <c r="O31" s="110">
        <f t="shared" si="26"/>
        <v>0</v>
      </c>
      <c r="P31" s="251">
        <v>1</v>
      </c>
      <c r="Q31" s="252">
        <f t="shared" si="23"/>
        <v>118.07</v>
      </c>
      <c r="R31" s="154"/>
      <c r="S31" s="122">
        <f t="shared" si="24"/>
        <v>0</v>
      </c>
      <c r="T31" s="275">
        <v>51</v>
      </c>
      <c r="U31" s="258">
        <f t="shared" si="18"/>
        <v>6021.57</v>
      </c>
      <c r="V31" s="268">
        <v>19</v>
      </c>
      <c r="W31" s="258">
        <f t="shared" si="19"/>
        <v>2243.33</v>
      </c>
      <c r="X31" s="268">
        <v>4</v>
      </c>
      <c r="Y31" s="258">
        <f t="shared" si="10"/>
        <v>472.28</v>
      </c>
      <c r="Z31" s="125">
        <f t="shared" si="11"/>
        <v>153</v>
      </c>
      <c r="AA31" s="126">
        <f t="shared" si="12"/>
        <v>18064.71</v>
      </c>
      <c r="AB31" s="149">
        <f t="shared" si="13"/>
        <v>0.32895000000000002</v>
      </c>
      <c r="AC31" s="51" t="b">
        <f t="shared" si="14"/>
        <v>1</v>
      </c>
      <c r="AD31" s="54">
        <f t="shared" si="22"/>
        <v>0</v>
      </c>
      <c r="AE31" s="51" t="b">
        <f t="shared" si="15"/>
        <v>1</v>
      </c>
      <c r="AF31" s="52">
        <f t="shared" si="32"/>
        <v>0</v>
      </c>
      <c r="AG31" s="276"/>
    </row>
    <row r="32" spans="1:33" s="49" customFormat="1" ht="39.950000000000003" customHeight="1" x14ac:dyDescent="0.25">
      <c r="B32" s="295"/>
      <c r="C32" s="295"/>
      <c r="D32" s="295"/>
      <c r="E32" s="295"/>
      <c r="F32" s="295"/>
      <c r="G32" s="295"/>
      <c r="H32" s="151"/>
      <c r="I32" s="130">
        <f>SUM(I17:I31)</f>
        <v>19880693.850000001</v>
      </c>
      <c r="J32" s="131"/>
      <c r="K32" s="132">
        <f>SUM(K17:K31)</f>
        <v>16407865.060000001</v>
      </c>
      <c r="L32" s="131"/>
      <c r="M32" s="132">
        <f>SUM(M17:M31)</f>
        <v>1165027.06</v>
      </c>
      <c r="N32" s="152"/>
      <c r="O32" s="130">
        <f>SUM(O17:O31)</f>
        <v>1982084.51</v>
      </c>
      <c r="P32" s="152"/>
      <c r="Q32" s="130">
        <f>SUM(Q17:Q31)</f>
        <v>2324449.14</v>
      </c>
      <c r="R32" s="131"/>
      <c r="S32" s="130">
        <f>SUM(S17:S31)</f>
        <v>2609711.98</v>
      </c>
      <c r="T32" s="259"/>
      <c r="U32" s="259">
        <f>SUM(U17:U31)</f>
        <v>2944338.24</v>
      </c>
      <c r="V32" s="259"/>
      <c r="W32" s="259">
        <f>SUM(W17:W31)</f>
        <v>2809979.87</v>
      </c>
      <c r="X32" s="259"/>
      <c r="Y32" s="259">
        <f>SUM(Y17:Y31)</f>
        <v>2572274.2599999998</v>
      </c>
      <c r="Z32" s="135"/>
      <c r="AA32" s="136">
        <f>SUM(AA17:AA31)</f>
        <v>3472828.79</v>
      </c>
      <c r="AB32" s="137">
        <f t="shared" si="13"/>
        <v>0.82532000000000005</v>
      </c>
      <c r="AC32" s="51"/>
      <c r="AD32" s="54"/>
      <c r="AE32" s="51"/>
      <c r="AF32" s="52">
        <f t="shared" si="32"/>
        <v>0</v>
      </c>
      <c r="AG32" s="276">
        <f>W32*1.2829</f>
        <v>3604923.18</v>
      </c>
    </row>
    <row r="33" spans="2:33" s="49" customFormat="1" ht="39.950000000000003" customHeight="1" x14ac:dyDescent="0.25">
      <c r="B33" s="115">
        <v>3</v>
      </c>
      <c r="C33" s="195"/>
      <c r="D33" s="195"/>
      <c r="E33" s="138" t="s">
        <v>8</v>
      </c>
      <c r="F33" s="139"/>
      <c r="G33" s="140"/>
      <c r="H33" s="141"/>
      <c r="I33" s="141"/>
      <c r="J33" s="140"/>
      <c r="K33" s="142"/>
      <c r="L33" s="230"/>
      <c r="M33" s="142"/>
      <c r="N33" s="239"/>
      <c r="O33" s="160"/>
      <c r="P33" s="139"/>
      <c r="Q33" s="141"/>
      <c r="R33" s="140"/>
      <c r="S33" s="141"/>
      <c r="T33" s="141"/>
      <c r="U33" s="141"/>
      <c r="V33" s="141"/>
      <c r="W33" s="141"/>
      <c r="X33" s="141"/>
      <c r="Y33" s="141"/>
      <c r="Z33" s="215"/>
      <c r="AA33" s="144"/>
      <c r="AB33" s="145"/>
      <c r="AC33" s="51"/>
      <c r="AD33" s="54"/>
      <c r="AE33" s="51" t="b">
        <f t="shared" ref="AE33:AE38" si="33">G33=(J33+Z33)</f>
        <v>1</v>
      </c>
      <c r="AF33" s="52">
        <f t="shared" si="32"/>
        <v>0</v>
      </c>
    </row>
    <row r="34" spans="2:33" s="53" customFormat="1" ht="39.950000000000003" customHeight="1" x14ac:dyDescent="0.25">
      <c r="B34" s="116" t="s">
        <v>38</v>
      </c>
      <c r="C34" s="198" t="s">
        <v>184</v>
      </c>
      <c r="D34" s="198" t="s">
        <v>204</v>
      </c>
      <c r="E34" s="117" t="s">
        <v>136</v>
      </c>
      <c r="F34" s="146" t="s">
        <v>3</v>
      </c>
      <c r="G34" s="119">
        <v>246.21</v>
      </c>
      <c r="H34" s="153">
        <v>189.1</v>
      </c>
      <c r="I34" s="112">
        <f t="shared" ref="I34" si="34">G34*H34</f>
        <v>46558.31</v>
      </c>
      <c r="J34" s="121">
        <f t="shared" ref="J34:K38" si="35">L34+N34+P34+R34+T34+V34+X34</f>
        <v>246.21</v>
      </c>
      <c r="K34" s="122">
        <f t="shared" si="35"/>
        <v>46558.31</v>
      </c>
      <c r="L34" s="229">
        <v>0</v>
      </c>
      <c r="M34" s="122">
        <f t="shared" ref="M34:M38" si="36">L34*H34</f>
        <v>0</v>
      </c>
      <c r="N34" s="154">
        <v>0</v>
      </c>
      <c r="O34" s="110">
        <f t="shared" ref="O34:O38" si="37">N34*$H34</f>
        <v>0</v>
      </c>
      <c r="P34" s="251">
        <v>29.53</v>
      </c>
      <c r="Q34" s="252">
        <f t="shared" ref="Q34:Q38" si="38">P34*$H34</f>
        <v>5584.12</v>
      </c>
      <c r="R34" s="154">
        <v>54.25</v>
      </c>
      <c r="S34" s="122">
        <f>R34*$H34</f>
        <v>10258.68</v>
      </c>
      <c r="T34" s="275">
        <v>121.54</v>
      </c>
      <c r="U34" s="258">
        <f>T34*$H34</f>
        <v>22983.21</v>
      </c>
      <c r="V34" s="275">
        <v>40.89</v>
      </c>
      <c r="W34" s="258">
        <f t="shared" ref="W34:W38" si="39">V34*$H34</f>
        <v>7732.3</v>
      </c>
      <c r="X34" s="268"/>
      <c r="Y34" s="258">
        <f t="shared" ref="Y34:Y38" si="40">X34*$H34</f>
        <v>0</v>
      </c>
      <c r="Z34" s="125">
        <f>G34-J34</f>
        <v>0</v>
      </c>
      <c r="AA34" s="126">
        <f>Z34*H34</f>
        <v>0</v>
      </c>
      <c r="AB34" s="127">
        <f t="shared" ref="AB34:AB39" si="41">IF(I34=0,"",K34/I34)</f>
        <v>1</v>
      </c>
      <c r="AC34" s="51" t="b">
        <f>I34=(K34+AA34)</f>
        <v>1</v>
      </c>
      <c r="AD34" s="54">
        <f>I34-(K34+AA34)</f>
        <v>0</v>
      </c>
      <c r="AE34" s="51" t="b">
        <f t="shared" si="33"/>
        <v>1</v>
      </c>
      <c r="AF34" s="52">
        <f t="shared" si="32"/>
        <v>0</v>
      </c>
    </row>
    <row r="35" spans="2:33" s="53" customFormat="1" ht="39.950000000000003" customHeight="1" x14ac:dyDescent="0.25">
      <c r="B35" s="107" t="s">
        <v>39</v>
      </c>
      <c r="C35" s="198" t="s">
        <v>184</v>
      </c>
      <c r="D35" s="198" t="s">
        <v>205</v>
      </c>
      <c r="E35" s="128" t="s">
        <v>137</v>
      </c>
      <c r="F35" s="146" t="s">
        <v>3</v>
      </c>
      <c r="G35" s="232">
        <v>246.21</v>
      </c>
      <c r="H35" s="233">
        <v>14.01</v>
      </c>
      <c r="I35" s="109">
        <f t="shared" ref="I35:I38" si="42">G35*H35</f>
        <v>3449.4</v>
      </c>
      <c r="J35" s="121">
        <f t="shared" si="35"/>
        <v>246.21</v>
      </c>
      <c r="K35" s="122">
        <f t="shared" si="35"/>
        <v>3449.4</v>
      </c>
      <c r="L35" s="229">
        <v>0</v>
      </c>
      <c r="M35" s="110">
        <f t="shared" si="36"/>
        <v>0</v>
      </c>
      <c r="N35" s="154">
        <v>0</v>
      </c>
      <c r="O35" s="110">
        <f t="shared" si="37"/>
        <v>0</v>
      </c>
      <c r="P35" s="251">
        <v>29.53</v>
      </c>
      <c r="Q35" s="252">
        <f>P35*$H35-0.01</f>
        <v>413.71</v>
      </c>
      <c r="R35" s="154">
        <v>54.25</v>
      </c>
      <c r="S35" s="110">
        <f>R35*$H35+0.01</f>
        <v>760.05</v>
      </c>
      <c r="T35" s="275">
        <v>121.54</v>
      </c>
      <c r="U35" s="258">
        <f>T35*$H35-0.01</f>
        <v>1702.77</v>
      </c>
      <c r="V35" s="275">
        <v>40.89</v>
      </c>
      <c r="W35" s="258">
        <f t="shared" si="39"/>
        <v>572.87</v>
      </c>
      <c r="X35" s="268"/>
      <c r="Y35" s="258">
        <f t="shared" si="40"/>
        <v>0</v>
      </c>
      <c r="Z35" s="214">
        <f>G35-J35</f>
        <v>0</v>
      </c>
      <c r="AA35" s="234">
        <f>Z35*H35</f>
        <v>0</v>
      </c>
      <c r="AB35" s="235">
        <f t="shared" si="41"/>
        <v>1</v>
      </c>
      <c r="AC35" s="51" t="b">
        <f>I35=(K35+AA35)</f>
        <v>1</v>
      </c>
      <c r="AD35" s="54">
        <f>I35-(K35+AA35)</f>
        <v>0</v>
      </c>
      <c r="AE35" s="51" t="b">
        <f t="shared" si="33"/>
        <v>1</v>
      </c>
      <c r="AF35" s="52">
        <f t="shared" si="32"/>
        <v>0</v>
      </c>
    </row>
    <row r="36" spans="2:33" s="53" customFormat="1" ht="79.5" customHeight="1" x14ac:dyDescent="0.25">
      <c r="B36" s="116" t="s">
        <v>40</v>
      </c>
      <c r="C36" s="198" t="s">
        <v>206</v>
      </c>
      <c r="D36" s="198" t="s">
        <v>207</v>
      </c>
      <c r="E36" s="128" t="s">
        <v>138</v>
      </c>
      <c r="F36" s="146" t="s">
        <v>1</v>
      </c>
      <c r="G36" s="119">
        <v>4551.09</v>
      </c>
      <c r="H36" s="153">
        <v>49.24</v>
      </c>
      <c r="I36" s="112">
        <f t="shared" si="42"/>
        <v>224095.67</v>
      </c>
      <c r="J36" s="121">
        <f t="shared" si="35"/>
        <v>4551.09</v>
      </c>
      <c r="K36" s="122">
        <f t="shared" si="35"/>
        <v>224095.67</v>
      </c>
      <c r="L36" s="229"/>
      <c r="M36" s="122">
        <f t="shared" si="36"/>
        <v>0</v>
      </c>
      <c r="N36" s="154">
        <v>200.28</v>
      </c>
      <c r="O36" s="110">
        <f t="shared" si="37"/>
        <v>9861.7900000000009</v>
      </c>
      <c r="P36" s="251">
        <v>381.45</v>
      </c>
      <c r="Q36" s="252">
        <f>P36*$H36-0.01</f>
        <v>18782.59</v>
      </c>
      <c r="R36" s="154">
        <v>639.24</v>
      </c>
      <c r="S36" s="122">
        <f t="shared" ref="S36:S38" si="43">R36*$H36</f>
        <v>31476.18</v>
      </c>
      <c r="T36" s="275">
        <v>1509.3</v>
      </c>
      <c r="U36" s="258">
        <f t="shared" ref="U36:U38" si="44">T36*$H36</f>
        <v>74317.929999999993</v>
      </c>
      <c r="V36" s="268">
        <v>1678.7</v>
      </c>
      <c r="W36" s="258">
        <f t="shared" si="39"/>
        <v>82659.19</v>
      </c>
      <c r="X36" s="268">
        <v>142.12</v>
      </c>
      <c r="Y36" s="258">
        <f t="shared" si="40"/>
        <v>6997.99</v>
      </c>
      <c r="Z36" s="125">
        <f>G36-J36</f>
        <v>0</v>
      </c>
      <c r="AA36" s="126">
        <f>Z36*H36</f>
        <v>0</v>
      </c>
      <c r="AB36" s="127">
        <f t="shared" si="41"/>
        <v>1</v>
      </c>
      <c r="AC36" s="51" t="b">
        <f>I36=(K36+AA36)</f>
        <v>1</v>
      </c>
      <c r="AD36" s="54">
        <f>I36-(K36+AA36)</f>
        <v>0</v>
      </c>
      <c r="AE36" s="51" t="b">
        <f t="shared" si="33"/>
        <v>1</v>
      </c>
      <c r="AF36" s="52">
        <f t="shared" si="32"/>
        <v>0</v>
      </c>
    </row>
    <row r="37" spans="2:33" s="53" customFormat="1" ht="39.950000000000003" customHeight="1" x14ac:dyDescent="0.25">
      <c r="B37" s="116" t="s">
        <v>41</v>
      </c>
      <c r="C37" s="198" t="s">
        <v>184</v>
      </c>
      <c r="D37" s="198" t="s">
        <v>208</v>
      </c>
      <c r="E37" s="128" t="s">
        <v>139</v>
      </c>
      <c r="F37" s="146" t="s">
        <v>141</v>
      </c>
      <c r="G37" s="119">
        <v>18204.36</v>
      </c>
      <c r="H37" s="153">
        <v>1.1200000000000001</v>
      </c>
      <c r="I37" s="112">
        <f t="shared" si="42"/>
        <v>20388.88</v>
      </c>
      <c r="J37" s="121">
        <f t="shared" si="35"/>
        <v>10929.05</v>
      </c>
      <c r="K37" s="122">
        <f t="shared" si="35"/>
        <v>12240.54</v>
      </c>
      <c r="L37" s="123">
        <v>0</v>
      </c>
      <c r="M37" s="122">
        <f t="shared" si="36"/>
        <v>0</v>
      </c>
      <c r="N37" s="154">
        <v>0</v>
      </c>
      <c r="O37" s="110">
        <f t="shared" si="37"/>
        <v>0</v>
      </c>
      <c r="P37" s="251">
        <v>196.86</v>
      </c>
      <c r="Q37" s="252">
        <f>P37*$H37</f>
        <v>220.48</v>
      </c>
      <c r="R37" s="154">
        <v>1085.06</v>
      </c>
      <c r="S37" s="122">
        <f>R37*$H37</f>
        <v>1215.27</v>
      </c>
      <c r="T37" s="275">
        <v>1170.3800000000001</v>
      </c>
      <c r="U37" s="258">
        <f>T37*$H37</f>
        <v>1310.83</v>
      </c>
      <c r="V37" s="268">
        <v>7373.16</v>
      </c>
      <c r="W37" s="258">
        <f t="shared" si="39"/>
        <v>8257.94</v>
      </c>
      <c r="X37" s="268">
        <v>1103.5899999999999</v>
      </c>
      <c r="Y37" s="258">
        <f t="shared" si="40"/>
        <v>1236.02</v>
      </c>
      <c r="Z37" s="125">
        <f>G37-J37</f>
        <v>7275.31</v>
      </c>
      <c r="AA37" s="126">
        <f>ROUNDDOWN(Z37*H37,2)</f>
        <v>8148.34</v>
      </c>
      <c r="AB37" s="127">
        <f t="shared" si="41"/>
        <v>0.60035000000000005</v>
      </c>
      <c r="AC37" s="51" t="b">
        <f>I37=(K37+AA37)</f>
        <v>1</v>
      </c>
      <c r="AD37" s="54">
        <f>I37-(K37+AA37)</f>
        <v>0</v>
      </c>
      <c r="AE37" s="51" t="b">
        <f t="shared" si="33"/>
        <v>1</v>
      </c>
      <c r="AF37" s="52">
        <f t="shared" si="32"/>
        <v>0</v>
      </c>
    </row>
    <row r="38" spans="2:33" s="53" customFormat="1" ht="39.950000000000003" customHeight="1" x14ac:dyDescent="0.25">
      <c r="B38" s="116" t="s">
        <v>42</v>
      </c>
      <c r="C38" s="198" t="s">
        <v>184</v>
      </c>
      <c r="D38" s="198" t="s">
        <v>209</v>
      </c>
      <c r="E38" s="117" t="s">
        <v>140</v>
      </c>
      <c r="F38" s="146" t="s">
        <v>21</v>
      </c>
      <c r="G38" s="119">
        <v>23</v>
      </c>
      <c r="H38" s="153">
        <v>842.51</v>
      </c>
      <c r="I38" s="112">
        <f t="shared" si="42"/>
        <v>19377.73</v>
      </c>
      <c r="J38" s="121">
        <f t="shared" si="35"/>
        <v>15</v>
      </c>
      <c r="K38" s="122">
        <f t="shared" si="35"/>
        <v>12637.65</v>
      </c>
      <c r="L38" s="123">
        <v>0</v>
      </c>
      <c r="M38" s="122">
        <f t="shared" si="36"/>
        <v>0</v>
      </c>
      <c r="N38" s="154"/>
      <c r="O38" s="110">
        <f t="shared" si="37"/>
        <v>0</v>
      </c>
      <c r="P38" s="251">
        <v>2</v>
      </c>
      <c r="Q38" s="252">
        <f t="shared" si="38"/>
        <v>1685.02</v>
      </c>
      <c r="R38" s="154">
        <v>5</v>
      </c>
      <c r="S38" s="122">
        <f t="shared" si="43"/>
        <v>4212.55</v>
      </c>
      <c r="T38" s="275">
        <v>6</v>
      </c>
      <c r="U38" s="258">
        <f t="shared" si="44"/>
        <v>5055.0600000000004</v>
      </c>
      <c r="V38" s="268">
        <v>2</v>
      </c>
      <c r="W38" s="258">
        <f t="shared" si="39"/>
        <v>1685.02</v>
      </c>
      <c r="X38" s="268"/>
      <c r="Y38" s="258">
        <f t="shared" si="40"/>
        <v>0</v>
      </c>
      <c r="Z38" s="125">
        <f>G38-J38</f>
        <v>8</v>
      </c>
      <c r="AA38" s="126">
        <f>Z38*H38</f>
        <v>6740.08</v>
      </c>
      <c r="AB38" s="127">
        <f t="shared" si="41"/>
        <v>0.65217000000000003</v>
      </c>
      <c r="AC38" s="51" t="b">
        <f>I38=(K38+AA38)</f>
        <v>1</v>
      </c>
      <c r="AD38" s="54">
        <f>I38-(K38+AA38)</f>
        <v>0</v>
      </c>
      <c r="AE38" s="51" t="b">
        <f t="shared" si="33"/>
        <v>1</v>
      </c>
      <c r="AF38" s="52">
        <f t="shared" si="32"/>
        <v>0</v>
      </c>
    </row>
    <row r="39" spans="2:33" s="49" customFormat="1" ht="39.950000000000003" customHeight="1" x14ac:dyDescent="0.25">
      <c r="B39" s="295"/>
      <c r="C39" s="295"/>
      <c r="D39" s="295"/>
      <c r="E39" s="295"/>
      <c r="F39" s="295"/>
      <c r="G39" s="295"/>
      <c r="H39" s="129"/>
      <c r="I39" s="130">
        <f>SUM(I34:I38)</f>
        <v>313869.99</v>
      </c>
      <c r="J39" s="131"/>
      <c r="K39" s="132">
        <f>SUM(K34:K38)</f>
        <v>298981.57</v>
      </c>
      <c r="L39" s="133"/>
      <c r="M39" s="132">
        <f>SUM(M34:M38)</f>
        <v>0</v>
      </c>
      <c r="N39" s="152"/>
      <c r="O39" s="130">
        <f>SUM(O34:O38)</f>
        <v>9861.7900000000009</v>
      </c>
      <c r="P39" s="152"/>
      <c r="Q39" s="130">
        <f>SUM(Q34:Q38)</f>
        <v>26685.919999999998</v>
      </c>
      <c r="R39" s="131"/>
      <c r="S39" s="130">
        <f>SUM(S34:S38)</f>
        <v>47922.73</v>
      </c>
      <c r="T39" s="259"/>
      <c r="U39" s="259">
        <f>SUM(U34:U38)</f>
        <v>105369.8</v>
      </c>
      <c r="V39" s="259"/>
      <c r="W39" s="259">
        <f>SUM(W34:W38)</f>
        <v>100907.32</v>
      </c>
      <c r="X39" s="259"/>
      <c r="Y39" s="259">
        <f>SUM(Y34:Y38)</f>
        <v>8234.01</v>
      </c>
      <c r="Z39" s="135"/>
      <c r="AA39" s="136">
        <f>SUM(AA34:AA38)</f>
        <v>14888.42</v>
      </c>
      <c r="AB39" s="137">
        <f t="shared" si="41"/>
        <v>0.95257000000000003</v>
      </c>
      <c r="AC39" s="51"/>
      <c r="AD39" s="54"/>
      <c r="AE39" s="51"/>
      <c r="AF39" s="52">
        <f t="shared" si="32"/>
        <v>0</v>
      </c>
      <c r="AG39" s="276">
        <f>W39*1.2829</f>
        <v>129454</v>
      </c>
    </row>
    <row r="40" spans="2:33" s="49" customFormat="1" ht="39.950000000000003" customHeight="1" x14ac:dyDescent="0.25">
      <c r="B40" s="115">
        <v>4</v>
      </c>
      <c r="C40" s="195"/>
      <c r="D40" s="195"/>
      <c r="E40" s="138" t="s">
        <v>142</v>
      </c>
      <c r="F40" s="139"/>
      <c r="G40" s="140"/>
      <c r="H40" s="141"/>
      <c r="I40" s="141"/>
      <c r="J40" s="140"/>
      <c r="K40" s="142"/>
      <c r="L40" s="143"/>
      <c r="M40" s="142"/>
      <c r="N40" s="239"/>
      <c r="O40" s="160"/>
      <c r="P40" s="139"/>
      <c r="Q40" s="141"/>
      <c r="R40" s="140"/>
      <c r="S40" s="141"/>
      <c r="T40" s="141"/>
      <c r="U40" s="141"/>
      <c r="V40" s="141"/>
      <c r="W40" s="141"/>
      <c r="X40" s="141"/>
      <c r="Y40" s="141"/>
      <c r="Z40" s="215"/>
      <c r="AA40" s="144"/>
      <c r="AB40" s="145"/>
      <c r="AC40" s="51"/>
      <c r="AD40" s="54"/>
      <c r="AE40" s="51"/>
      <c r="AF40" s="52">
        <f t="shared" si="32"/>
        <v>0</v>
      </c>
    </row>
    <row r="41" spans="2:33" s="53" customFormat="1" ht="39.950000000000003" customHeight="1" x14ac:dyDescent="0.25">
      <c r="B41" s="116" t="s">
        <v>43</v>
      </c>
      <c r="C41" s="198" t="s">
        <v>184</v>
      </c>
      <c r="D41" s="198" t="s">
        <v>210</v>
      </c>
      <c r="E41" s="117" t="s">
        <v>143</v>
      </c>
      <c r="F41" s="146" t="s">
        <v>4</v>
      </c>
      <c r="G41" s="119">
        <v>2726.4</v>
      </c>
      <c r="H41" s="120">
        <v>22.37</v>
      </c>
      <c r="I41" s="112">
        <f>G41*H41</f>
        <v>60989.57</v>
      </c>
      <c r="J41" s="121">
        <f t="shared" ref="J41:K46" si="45">L41+N41+P41+R41+T41+V41+X41</f>
        <v>238.34</v>
      </c>
      <c r="K41" s="122">
        <f t="shared" si="45"/>
        <v>5331.67</v>
      </c>
      <c r="L41" s="229"/>
      <c r="M41" s="122">
        <f t="shared" ref="M41:M46" si="46">L41*H41</f>
        <v>0</v>
      </c>
      <c r="N41" s="154"/>
      <c r="O41" s="110">
        <f t="shared" ref="O41:O46" si="47">N41*$H41</f>
        <v>0</v>
      </c>
      <c r="P41" s="251"/>
      <c r="Q41" s="252">
        <f t="shared" ref="Q41:Q44" si="48">P41*$H41</f>
        <v>0</v>
      </c>
      <c r="R41" s="154">
        <v>16</v>
      </c>
      <c r="S41" s="122">
        <f t="shared" ref="S41:S46" si="49">R41*$H41</f>
        <v>357.92</v>
      </c>
      <c r="T41" s="275">
        <v>160.44</v>
      </c>
      <c r="U41" s="258">
        <f t="shared" ref="U41:U46" si="50">T41*$H41</f>
        <v>3589.04</v>
      </c>
      <c r="V41" s="268">
        <v>61.9</v>
      </c>
      <c r="W41" s="258">
        <f>V41*$H41+0.01</f>
        <v>1384.71</v>
      </c>
      <c r="X41" s="268"/>
      <c r="Y41" s="258">
        <f t="shared" ref="Y41:Y46" si="51">X41*$H41</f>
        <v>0</v>
      </c>
      <c r="Z41" s="125">
        <f t="shared" ref="Z41:Z46" si="52">G41-J41</f>
        <v>2488.06</v>
      </c>
      <c r="AA41" s="126">
        <f t="shared" ref="AA41:AA46" si="53">Z41*H41</f>
        <v>55657.9</v>
      </c>
      <c r="AB41" s="127">
        <f t="shared" ref="AB41:AB47" si="54">IF(I41=0,"",K41/I41)</f>
        <v>8.7419999999999998E-2</v>
      </c>
      <c r="AC41" s="51" t="b">
        <f t="shared" ref="AC41:AC46" si="55">I41=(K41+AA41)</f>
        <v>1</v>
      </c>
      <c r="AD41" s="54">
        <f t="shared" ref="AD41:AD46" si="56">I41-(K41+AA41)</f>
        <v>0</v>
      </c>
      <c r="AE41" s="51" t="b">
        <f t="shared" ref="AE41:AE46" si="57">G41=(J41+Z41)</f>
        <v>1</v>
      </c>
      <c r="AF41" s="52">
        <f t="shared" si="32"/>
        <v>0</v>
      </c>
    </row>
    <row r="42" spans="2:33" s="53" customFormat="1" ht="39.950000000000003" customHeight="1" x14ac:dyDescent="0.25">
      <c r="B42" s="116" t="s">
        <v>44</v>
      </c>
      <c r="C42" s="198" t="s">
        <v>189</v>
      </c>
      <c r="D42" s="198" t="s">
        <v>211</v>
      </c>
      <c r="E42" s="128" t="s">
        <v>28</v>
      </c>
      <c r="F42" s="146" t="s">
        <v>6</v>
      </c>
      <c r="G42" s="119">
        <v>16358.4</v>
      </c>
      <c r="H42" s="120">
        <v>1.78</v>
      </c>
      <c r="I42" s="112">
        <f t="shared" ref="I42:I46" si="58">G42*H42</f>
        <v>29117.95</v>
      </c>
      <c r="J42" s="121">
        <f t="shared" si="45"/>
        <v>72.06</v>
      </c>
      <c r="K42" s="122">
        <f t="shared" si="45"/>
        <v>128.26</v>
      </c>
      <c r="L42" s="123"/>
      <c r="M42" s="122">
        <f t="shared" si="46"/>
        <v>0</v>
      </c>
      <c r="N42" s="154"/>
      <c r="O42" s="110">
        <f t="shared" si="47"/>
        <v>0</v>
      </c>
      <c r="P42" s="251"/>
      <c r="Q42" s="252">
        <f t="shared" si="48"/>
        <v>0</v>
      </c>
      <c r="R42" s="154"/>
      <c r="S42" s="122">
        <f t="shared" si="49"/>
        <v>0</v>
      </c>
      <c r="T42" s="275">
        <v>51.34</v>
      </c>
      <c r="U42" s="258">
        <f>T42*$H42-0.01</f>
        <v>91.38</v>
      </c>
      <c r="V42" s="268">
        <v>20.72</v>
      </c>
      <c r="W42" s="258">
        <f>V42*$H42</f>
        <v>36.880000000000003</v>
      </c>
      <c r="X42" s="268"/>
      <c r="Y42" s="258">
        <f t="shared" si="51"/>
        <v>0</v>
      </c>
      <c r="Z42" s="125">
        <f t="shared" si="52"/>
        <v>16286.34</v>
      </c>
      <c r="AA42" s="126">
        <f t="shared" si="53"/>
        <v>28989.69</v>
      </c>
      <c r="AB42" s="127">
        <f t="shared" si="54"/>
        <v>4.4000000000000003E-3</v>
      </c>
      <c r="AC42" s="51" t="b">
        <f t="shared" si="55"/>
        <v>1</v>
      </c>
      <c r="AD42" s="54">
        <f t="shared" si="56"/>
        <v>0</v>
      </c>
      <c r="AE42" s="51" t="b">
        <f t="shared" si="57"/>
        <v>1</v>
      </c>
      <c r="AF42" s="52">
        <f t="shared" si="32"/>
        <v>0</v>
      </c>
    </row>
    <row r="43" spans="2:33" s="53" customFormat="1" ht="39.950000000000003" customHeight="1" x14ac:dyDescent="0.25">
      <c r="B43" s="116" t="s">
        <v>45</v>
      </c>
      <c r="C43" s="198" t="s">
        <v>184</v>
      </c>
      <c r="D43" s="198" t="s">
        <v>212</v>
      </c>
      <c r="E43" s="128" t="s">
        <v>9</v>
      </c>
      <c r="F43" s="146" t="s">
        <v>3</v>
      </c>
      <c r="G43" s="119">
        <v>272.64</v>
      </c>
      <c r="H43" s="120">
        <v>204.12</v>
      </c>
      <c r="I43" s="112">
        <f t="shared" si="58"/>
        <v>55651.28</v>
      </c>
      <c r="J43" s="121">
        <f t="shared" si="45"/>
        <v>9.9</v>
      </c>
      <c r="K43" s="122">
        <f t="shared" si="45"/>
        <v>2020.79</v>
      </c>
      <c r="L43" s="123"/>
      <c r="M43" s="122">
        <f t="shared" si="46"/>
        <v>0</v>
      </c>
      <c r="N43" s="154"/>
      <c r="O43" s="110">
        <f t="shared" si="47"/>
        <v>0</v>
      </c>
      <c r="P43" s="251">
        <v>0.16</v>
      </c>
      <c r="Q43" s="252">
        <f t="shared" si="48"/>
        <v>32.659999999999997</v>
      </c>
      <c r="R43" s="154">
        <v>0.8</v>
      </c>
      <c r="S43" s="122">
        <f t="shared" si="49"/>
        <v>163.30000000000001</v>
      </c>
      <c r="T43" s="275">
        <v>4.8</v>
      </c>
      <c r="U43" s="258">
        <f>T43*$H43-0.01</f>
        <v>979.77</v>
      </c>
      <c r="V43" s="268">
        <v>4.1399999999999997</v>
      </c>
      <c r="W43" s="258">
        <f t="shared" ref="W43:W44" si="59">V43*$H43</f>
        <v>845.06</v>
      </c>
      <c r="X43" s="268"/>
      <c r="Y43" s="258">
        <f t="shared" si="51"/>
        <v>0</v>
      </c>
      <c r="Z43" s="125">
        <f t="shared" si="52"/>
        <v>262.74</v>
      </c>
      <c r="AA43" s="126">
        <f t="shared" si="53"/>
        <v>53630.49</v>
      </c>
      <c r="AB43" s="127">
        <f t="shared" si="54"/>
        <v>3.6310000000000002E-2</v>
      </c>
      <c r="AC43" s="51" t="b">
        <f t="shared" si="55"/>
        <v>1</v>
      </c>
      <c r="AD43" s="54">
        <f t="shared" si="56"/>
        <v>0</v>
      </c>
      <c r="AE43" s="51" t="b">
        <f t="shared" si="57"/>
        <v>1</v>
      </c>
      <c r="AF43" s="52">
        <f t="shared" si="32"/>
        <v>0</v>
      </c>
    </row>
    <row r="44" spans="2:33" s="53" customFormat="1" ht="39.950000000000003" customHeight="1" x14ac:dyDescent="0.25">
      <c r="B44" s="116" t="s">
        <v>46</v>
      </c>
      <c r="C44" s="198" t="s">
        <v>184</v>
      </c>
      <c r="D44" s="198" t="s">
        <v>213</v>
      </c>
      <c r="E44" s="128" t="s">
        <v>7</v>
      </c>
      <c r="F44" s="146" t="s">
        <v>5</v>
      </c>
      <c r="G44" s="119">
        <v>12214.27</v>
      </c>
      <c r="H44" s="120">
        <v>12.22</v>
      </c>
      <c r="I44" s="112">
        <f t="shared" si="58"/>
        <v>149258.38</v>
      </c>
      <c r="J44" s="121">
        <f t="shared" si="45"/>
        <v>664.23</v>
      </c>
      <c r="K44" s="122">
        <f t="shared" si="45"/>
        <v>8116.89</v>
      </c>
      <c r="L44" s="123"/>
      <c r="M44" s="122">
        <f t="shared" si="46"/>
        <v>0</v>
      </c>
      <c r="N44" s="154"/>
      <c r="O44" s="110">
        <f t="shared" si="47"/>
        <v>0</v>
      </c>
      <c r="P44" s="154">
        <v>173.74</v>
      </c>
      <c r="Q44" s="252">
        <f t="shared" si="48"/>
        <v>2123.1</v>
      </c>
      <c r="R44" s="154">
        <v>40.32</v>
      </c>
      <c r="S44" s="122">
        <f t="shared" si="49"/>
        <v>492.71</v>
      </c>
      <c r="T44" s="275">
        <v>241.77</v>
      </c>
      <c r="U44" s="258">
        <f t="shared" si="50"/>
        <v>2954.43</v>
      </c>
      <c r="V44" s="268">
        <v>208.4</v>
      </c>
      <c r="W44" s="258">
        <f t="shared" si="59"/>
        <v>2546.65</v>
      </c>
      <c r="X44" s="268"/>
      <c r="Y44" s="258">
        <f t="shared" si="51"/>
        <v>0</v>
      </c>
      <c r="Z44" s="125">
        <f t="shared" si="52"/>
        <v>11550.04</v>
      </c>
      <c r="AA44" s="126">
        <f t="shared" si="53"/>
        <v>141141.49</v>
      </c>
      <c r="AB44" s="127">
        <f t="shared" si="54"/>
        <v>5.4379999999999998E-2</v>
      </c>
      <c r="AC44" s="51" t="b">
        <f t="shared" si="55"/>
        <v>1</v>
      </c>
      <c r="AD44" s="54">
        <f t="shared" si="56"/>
        <v>0</v>
      </c>
      <c r="AE44" s="51" t="b">
        <f t="shared" si="57"/>
        <v>1</v>
      </c>
      <c r="AF44" s="52">
        <f t="shared" si="32"/>
        <v>0</v>
      </c>
    </row>
    <row r="45" spans="2:33" s="53" customFormat="1" ht="39.950000000000003" customHeight="1" x14ac:dyDescent="0.25">
      <c r="B45" s="116" t="s">
        <v>47</v>
      </c>
      <c r="C45" s="198" t="s">
        <v>184</v>
      </c>
      <c r="D45" s="198" t="s">
        <v>214</v>
      </c>
      <c r="E45" s="128" t="s">
        <v>144</v>
      </c>
      <c r="F45" s="146" t="s">
        <v>3</v>
      </c>
      <c r="G45" s="119">
        <v>545.28</v>
      </c>
      <c r="H45" s="120">
        <v>502.31</v>
      </c>
      <c r="I45" s="112">
        <f t="shared" si="58"/>
        <v>273899.59999999998</v>
      </c>
      <c r="J45" s="121">
        <f t="shared" si="45"/>
        <v>85.67</v>
      </c>
      <c r="K45" s="122">
        <f t="shared" si="45"/>
        <v>43032.9</v>
      </c>
      <c r="L45" s="123"/>
      <c r="M45" s="122">
        <f t="shared" si="46"/>
        <v>0</v>
      </c>
      <c r="N45" s="154"/>
      <c r="O45" s="110">
        <f t="shared" si="47"/>
        <v>0</v>
      </c>
      <c r="P45" s="251">
        <v>18.73</v>
      </c>
      <c r="Q45" s="252">
        <f>P45*$H45</f>
        <v>9408.27</v>
      </c>
      <c r="R45" s="154">
        <v>4</v>
      </c>
      <c r="S45" s="122">
        <f t="shared" si="49"/>
        <v>2009.24</v>
      </c>
      <c r="T45" s="275">
        <v>23.99</v>
      </c>
      <c r="U45" s="258">
        <f t="shared" si="50"/>
        <v>12050.42</v>
      </c>
      <c r="V45" s="268">
        <v>22.56</v>
      </c>
      <c r="W45" s="258">
        <f>V45*$H45</f>
        <v>11332.11</v>
      </c>
      <c r="X45" s="268">
        <v>16.39</v>
      </c>
      <c r="Y45" s="258">
        <f t="shared" si="51"/>
        <v>8232.86</v>
      </c>
      <c r="Z45" s="125">
        <f t="shared" si="52"/>
        <v>459.61</v>
      </c>
      <c r="AA45" s="126">
        <f t="shared" si="53"/>
        <v>230866.7</v>
      </c>
      <c r="AB45" s="127">
        <f t="shared" si="54"/>
        <v>0.15711</v>
      </c>
      <c r="AC45" s="51" t="b">
        <f t="shared" si="55"/>
        <v>1</v>
      </c>
      <c r="AD45" s="54">
        <f t="shared" si="56"/>
        <v>0</v>
      </c>
      <c r="AE45" s="51" t="b">
        <f t="shared" si="57"/>
        <v>1</v>
      </c>
      <c r="AF45" s="52">
        <f t="shared" si="32"/>
        <v>0</v>
      </c>
    </row>
    <row r="46" spans="2:33" s="53" customFormat="1" ht="39.950000000000003" customHeight="1" x14ac:dyDescent="0.25">
      <c r="B46" s="116" t="s">
        <v>48</v>
      </c>
      <c r="C46" s="198" t="s">
        <v>189</v>
      </c>
      <c r="D46" s="198" t="s">
        <v>215</v>
      </c>
      <c r="E46" s="128" t="s">
        <v>145</v>
      </c>
      <c r="F46" s="146" t="s">
        <v>4</v>
      </c>
      <c r="G46" s="119">
        <v>1090.56</v>
      </c>
      <c r="H46" s="120">
        <v>105.65</v>
      </c>
      <c r="I46" s="112">
        <f t="shared" si="58"/>
        <v>115217.66</v>
      </c>
      <c r="J46" s="121">
        <f t="shared" si="45"/>
        <v>67.430000000000007</v>
      </c>
      <c r="K46" s="122">
        <f t="shared" si="45"/>
        <v>7123.98</v>
      </c>
      <c r="L46" s="123"/>
      <c r="M46" s="122">
        <f t="shared" si="46"/>
        <v>0</v>
      </c>
      <c r="N46" s="154"/>
      <c r="O46" s="110">
        <f t="shared" si="47"/>
        <v>0</v>
      </c>
      <c r="P46" s="251">
        <v>14.06</v>
      </c>
      <c r="Q46" s="252">
        <f>P46*$H46-0.01</f>
        <v>1485.43</v>
      </c>
      <c r="R46" s="154"/>
      <c r="S46" s="122">
        <f t="shared" si="49"/>
        <v>0</v>
      </c>
      <c r="T46" s="275">
        <v>27.09</v>
      </c>
      <c r="U46" s="258">
        <f t="shared" si="50"/>
        <v>2862.06</v>
      </c>
      <c r="V46" s="268">
        <v>18.88</v>
      </c>
      <c r="W46" s="258">
        <f>V46*$H46+0.01</f>
        <v>1994.68</v>
      </c>
      <c r="X46" s="268">
        <v>7.4</v>
      </c>
      <c r="Y46" s="258">
        <f t="shared" si="51"/>
        <v>781.81</v>
      </c>
      <c r="Z46" s="125">
        <f t="shared" si="52"/>
        <v>1023.13</v>
      </c>
      <c r="AA46" s="126">
        <f t="shared" si="53"/>
        <v>108093.68</v>
      </c>
      <c r="AB46" s="127">
        <f t="shared" si="54"/>
        <v>6.1830000000000003E-2</v>
      </c>
      <c r="AC46" s="51" t="b">
        <f t="shared" si="55"/>
        <v>1</v>
      </c>
      <c r="AD46" s="54">
        <f t="shared" si="56"/>
        <v>0</v>
      </c>
      <c r="AE46" s="51" t="b">
        <f t="shared" si="57"/>
        <v>1</v>
      </c>
      <c r="AF46" s="52">
        <f t="shared" si="32"/>
        <v>0</v>
      </c>
    </row>
    <row r="47" spans="2:33" s="49" customFormat="1" ht="39.950000000000003" customHeight="1" x14ac:dyDescent="0.25">
      <c r="B47" s="295"/>
      <c r="C47" s="295"/>
      <c r="D47" s="295"/>
      <c r="E47" s="295"/>
      <c r="F47" s="295"/>
      <c r="G47" s="295"/>
      <c r="H47" s="129"/>
      <c r="I47" s="130">
        <f>SUM(I41:I46)</f>
        <v>684134.44</v>
      </c>
      <c r="J47" s="131"/>
      <c r="K47" s="132">
        <f>SUM(K41:K46)</f>
        <v>65754.490000000005</v>
      </c>
      <c r="L47" s="133"/>
      <c r="M47" s="132">
        <f>SUM(M41:M46)</f>
        <v>0</v>
      </c>
      <c r="N47" s="134"/>
      <c r="O47" s="130">
        <f>SUM(O41:O46)</f>
        <v>0</v>
      </c>
      <c r="P47" s="134"/>
      <c r="Q47" s="130">
        <f>SUM(Q41:Q46)</f>
        <v>13049.46</v>
      </c>
      <c r="R47" s="131"/>
      <c r="S47" s="130">
        <f>SUM(S41:S46)</f>
        <v>3023.17</v>
      </c>
      <c r="T47" s="269"/>
      <c r="U47" s="259">
        <f>SUM(U41:U46)</f>
        <v>22527.1</v>
      </c>
      <c r="V47" s="269"/>
      <c r="W47" s="259">
        <f>SUM(W41:W46)</f>
        <v>18140.09</v>
      </c>
      <c r="X47" s="269"/>
      <c r="Y47" s="259">
        <f>SUM(Y41:Y46)</f>
        <v>9014.67</v>
      </c>
      <c r="Z47" s="135"/>
      <c r="AA47" s="136">
        <f>SUM(AA41:AA46)</f>
        <v>618379.94999999995</v>
      </c>
      <c r="AB47" s="137">
        <f t="shared" si="54"/>
        <v>9.6110000000000001E-2</v>
      </c>
      <c r="AC47" s="51"/>
      <c r="AD47" s="54"/>
      <c r="AE47" s="51"/>
      <c r="AF47" s="52">
        <f t="shared" si="32"/>
        <v>0</v>
      </c>
      <c r="AG47" s="276">
        <f>W47*1.2829</f>
        <v>23271.919999999998</v>
      </c>
    </row>
    <row r="48" spans="2:33" s="49" customFormat="1" ht="39.950000000000003" customHeight="1" x14ac:dyDescent="0.25">
      <c r="B48" s="115">
        <v>5</v>
      </c>
      <c r="C48" s="195"/>
      <c r="D48" s="195"/>
      <c r="E48" s="138" t="s">
        <v>146</v>
      </c>
      <c r="F48" s="139"/>
      <c r="G48" s="140"/>
      <c r="H48" s="141"/>
      <c r="I48" s="141"/>
      <c r="J48" s="140"/>
      <c r="K48" s="142"/>
      <c r="L48" s="143"/>
      <c r="M48" s="142"/>
      <c r="N48" s="239"/>
      <c r="O48" s="160"/>
      <c r="P48" s="139"/>
      <c r="Q48" s="141"/>
      <c r="R48" s="140"/>
      <c r="S48" s="141"/>
      <c r="T48" s="141"/>
      <c r="U48" s="141"/>
      <c r="V48" s="141"/>
      <c r="W48" s="141"/>
      <c r="X48" s="141"/>
      <c r="Y48" s="141"/>
      <c r="Z48" s="215"/>
      <c r="AA48" s="144"/>
      <c r="AB48" s="145"/>
      <c r="AC48" s="51"/>
      <c r="AD48" s="54"/>
      <c r="AE48" s="51"/>
      <c r="AF48" s="52">
        <f t="shared" si="32"/>
        <v>0</v>
      </c>
    </row>
    <row r="49" spans="2:33" s="53" customFormat="1" ht="39.950000000000003" customHeight="1" x14ac:dyDescent="0.25">
      <c r="B49" s="116" t="s">
        <v>49</v>
      </c>
      <c r="C49" s="198" t="s">
        <v>206</v>
      </c>
      <c r="D49" s="198" t="s">
        <v>216</v>
      </c>
      <c r="E49" s="117" t="s">
        <v>147</v>
      </c>
      <c r="F49" s="146" t="s">
        <v>21</v>
      </c>
      <c r="G49" s="119">
        <v>569</v>
      </c>
      <c r="H49" s="120">
        <v>565.23</v>
      </c>
      <c r="I49" s="112">
        <f>G49*H49</f>
        <v>321615.87</v>
      </c>
      <c r="J49" s="121">
        <f t="shared" ref="J49:K52" si="60">L49+N49+P49+R49+T49+V49+X49</f>
        <v>407</v>
      </c>
      <c r="K49" s="122">
        <f t="shared" si="60"/>
        <v>230048.61</v>
      </c>
      <c r="L49" s="123"/>
      <c r="M49" s="122">
        <f t="shared" ref="M49:M50" si="61">L49*H49</f>
        <v>0</v>
      </c>
      <c r="N49" s="154"/>
      <c r="O49" s="110">
        <f t="shared" ref="O49:O50" si="62">N49*$H49</f>
        <v>0</v>
      </c>
      <c r="P49" s="251"/>
      <c r="Q49" s="252">
        <f t="shared" ref="Q49:Q50" si="63">P49*$H49</f>
        <v>0</v>
      </c>
      <c r="R49" s="154"/>
      <c r="S49" s="122">
        <f t="shared" ref="S49:S50" si="64">R49*$H49</f>
        <v>0</v>
      </c>
      <c r="T49" s="275">
        <v>34</v>
      </c>
      <c r="U49" s="258">
        <f t="shared" ref="U49:U52" si="65">T49*$H49</f>
        <v>19217.82</v>
      </c>
      <c r="V49" s="268">
        <v>366</v>
      </c>
      <c r="W49" s="258">
        <f t="shared" ref="W49:W52" si="66">V49*$H49</f>
        <v>206874.18</v>
      </c>
      <c r="X49" s="268">
        <v>7</v>
      </c>
      <c r="Y49" s="258">
        <f t="shared" ref="Y49:Y52" si="67">X49*$H49</f>
        <v>3956.61</v>
      </c>
      <c r="Z49" s="125">
        <f>G49-J49</f>
        <v>162</v>
      </c>
      <c r="AA49" s="126">
        <f>Z49*H49</f>
        <v>91567.26</v>
      </c>
      <c r="AB49" s="127">
        <f>IF(I49=0,"",K49/I49)</f>
        <v>0.71528999999999998</v>
      </c>
      <c r="AC49" s="51" t="b">
        <f>I49=(K49+AA49)</f>
        <v>1</v>
      </c>
      <c r="AD49" s="54">
        <f>I49-(K49+AA49)</f>
        <v>0</v>
      </c>
      <c r="AE49" s="51" t="b">
        <f>G49=(J49+Z49)</f>
        <v>1</v>
      </c>
      <c r="AF49" s="52">
        <f t="shared" si="32"/>
        <v>0</v>
      </c>
    </row>
    <row r="50" spans="2:33" s="53" customFormat="1" ht="39.950000000000003" customHeight="1" x14ac:dyDescent="0.25">
      <c r="B50" s="116" t="s">
        <v>50</v>
      </c>
      <c r="C50" s="198" t="s">
        <v>206</v>
      </c>
      <c r="D50" s="198" t="s">
        <v>217</v>
      </c>
      <c r="E50" s="128" t="s">
        <v>148</v>
      </c>
      <c r="F50" s="146" t="s">
        <v>21</v>
      </c>
      <c r="G50" s="119">
        <v>569</v>
      </c>
      <c r="H50" s="120">
        <v>124.8</v>
      </c>
      <c r="I50" s="112">
        <f t="shared" ref="I50:I57" si="68">G50*H50</f>
        <v>71011.199999999997</v>
      </c>
      <c r="J50" s="121">
        <f t="shared" si="60"/>
        <v>407</v>
      </c>
      <c r="K50" s="122">
        <f t="shared" si="60"/>
        <v>50793.599999999999</v>
      </c>
      <c r="L50" s="123"/>
      <c r="M50" s="122">
        <f t="shared" si="61"/>
        <v>0</v>
      </c>
      <c r="N50" s="154"/>
      <c r="O50" s="110">
        <f t="shared" si="62"/>
        <v>0</v>
      </c>
      <c r="P50" s="251"/>
      <c r="Q50" s="252">
        <f t="shared" si="63"/>
        <v>0</v>
      </c>
      <c r="R50" s="154"/>
      <c r="S50" s="122">
        <f t="shared" si="64"/>
        <v>0</v>
      </c>
      <c r="T50" s="275">
        <v>34</v>
      </c>
      <c r="U50" s="258">
        <f t="shared" si="65"/>
        <v>4243.2</v>
      </c>
      <c r="V50" s="268">
        <v>366</v>
      </c>
      <c r="W50" s="258">
        <f t="shared" si="66"/>
        <v>45676.800000000003</v>
      </c>
      <c r="X50" s="268">
        <v>7</v>
      </c>
      <c r="Y50" s="258">
        <f t="shared" si="67"/>
        <v>873.6</v>
      </c>
      <c r="Z50" s="125">
        <f>G50-J50</f>
        <v>162</v>
      </c>
      <c r="AA50" s="126">
        <f>Z50*H50</f>
        <v>20217.599999999999</v>
      </c>
      <c r="AB50" s="127">
        <f>IF(I50=0,"",K50/I50)</f>
        <v>0.71528999999999998</v>
      </c>
      <c r="AC50" s="51" t="b">
        <f>I50=(K50+AA50)</f>
        <v>1</v>
      </c>
      <c r="AD50" s="54">
        <f>I50-(K50+AA50)</f>
        <v>0</v>
      </c>
      <c r="AE50" s="51" t="b">
        <f>G50=(J50+Z50)</f>
        <v>1</v>
      </c>
      <c r="AF50" s="52">
        <f t="shared" si="32"/>
        <v>0</v>
      </c>
    </row>
    <row r="51" spans="2:33" s="53" customFormat="1" ht="39.950000000000003" customHeight="1" x14ac:dyDescent="0.25">
      <c r="B51" s="116" t="s">
        <v>51</v>
      </c>
      <c r="C51" s="198" t="s">
        <v>206</v>
      </c>
      <c r="D51" s="198" t="s">
        <v>218</v>
      </c>
      <c r="E51" s="128" t="s">
        <v>149</v>
      </c>
      <c r="F51" s="146" t="s">
        <v>1</v>
      </c>
      <c r="G51" s="155">
        <v>2276</v>
      </c>
      <c r="H51" s="120">
        <v>3.28</v>
      </c>
      <c r="I51" s="112">
        <f t="shared" ref="I51" si="69">G51*H51</f>
        <v>7465.28</v>
      </c>
      <c r="J51" s="121">
        <f t="shared" si="60"/>
        <v>1628</v>
      </c>
      <c r="K51" s="122">
        <f t="shared" si="60"/>
        <v>5339.84</v>
      </c>
      <c r="L51" s="123"/>
      <c r="M51" s="122">
        <f t="shared" ref="M51:M52" si="70">L51*H51</f>
        <v>0</v>
      </c>
      <c r="N51" s="154"/>
      <c r="O51" s="110">
        <f t="shared" ref="O51:O52" si="71">N51*$H51</f>
        <v>0</v>
      </c>
      <c r="P51" s="251"/>
      <c r="Q51" s="252">
        <f t="shared" ref="Q51:Q52" si="72">P51*$H51</f>
        <v>0</v>
      </c>
      <c r="R51" s="124"/>
      <c r="S51" s="122">
        <f t="shared" ref="S51:S52" si="73">R51*$H51</f>
        <v>0</v>
      </c>
      <c r="T51" s="275">
        <v>136</v>
      </c>
      <c r="U51" s="258">
        <f t="shared" si="65"/>
        <v>446.08</v>
      </c>
      <c r="V51" s="268">
        <v>1464</v>
      </c>
      <c r="W51" s="258">
        <f t="shared" si="66"/>
        <v>4801.92</v>
      </c>
      <c r="X51" s="268">
        <v>28</v>
      </c>
      <c r="Y51" s="258">
        <f t="shared" si="67"/>
        <v>91.84</v>
      </c>
      <c r="Z51" s="125">
        <f>G51-J51</f>
        <v>648</v>
      </c>
      <c r="AA51" s="126">
        <f>Z51*H51</f>
        <v>2125.44</v>
      </c>
      <c r="AB51" s="127">
        <f>IF(I51=0,"",K51/I51)</f>
        <v>0.71528999999999998</v>
      </c>
      <c r="AC51" s="51" t="b">
        <f>I51=(K51+AA51)</f>
        <v>1</v>
      </c>
      <c r="AD51" s="54">
        <f>I51-(K51+AA51)</f>
        <v>0</v>
      </c>
      <c r="AE51" s="51" t="b">
        <f>G51=(J51+Z51)</f>
        <v>1</v>
      </c>
      <c r="AF51" s="52">
        <f t="shared" si="32"/>
        <v>0</v>
      </c>
    </row>
    <row r="52" spans="2:33" s="53" customFormat="1" ht="39.950000000000003" customHeight="1" x14ac:dyDescent="0.25">
      <c r="B52" s="116" t="s">
        <v>52</v>
      </c>
      <c r="C52" s="198" t="s">
        <v>206</v>
      </c>
      <c r="D52" s="198" t="s">
        <v>219</v>
      </c>
      <c r="E52" s="128" t="s">
        <v>150</v>
      </c>
      <c r="F52" s="146" t="s">
        <v>21</v>
      </c>
      <c r="G52" s="119">
        <v>569</v>
      </c>
      <c r="H52" s="120">
        <v>43.83</v>
      </c>
      <c r="I52" s="112">
        <f t="shared" si="68"/>
        <v>24939.27</v>
      </c>
      <c r="J52" s="121">
        <f t="shared" si="60"/>
        <v>407</v>
      </c>
      <c r="K52" s="122">
        <f t="shared" si="60"/>
        <v>17838.810000000001</v>
      </c>
      <c r="L52" s="123"/>
      <c r="M52" s="122">
        <f t="shared" si="70"/>
        <v>0</v>
      </c>
      <c r="N52" s="154"/>
      <c r="O52" s="110">
        <f t="shared" si="71"/>
        <v>0</v>
      </c>
      <c r="P52" s="251"/>
      <c r="Q52" s="252">
        <f t="shared" si="72"/>
        <v>0</v>
      </c>
      <c r="R52" s="124"/>
      <c r="S52" s="122">
        <f t="shared" si="73"/>
        <v>0</v>
      </c>
      <c r="T52" s="275">
        <v>34</v>
      </c>
      <c r="U52" s="258">
        <f t="shared" si="65"/>
        <v>1490.22</v>
      </c>
      <c r="V52" s="268">
        <v>366</v>
      </c>
      <c r="W52" s="258">
        <f t="shared" si="66"/>
        <v>16041.78</v>
      </c>
      <c r="X52" s="268">
        <v>7</v>
      </c>
      <c r="Y52" s="258">
        <f t="shared" si="67"/>
        <v>306.81</v>
      </c>
      <c r="Z52" s="125">
        <f>G52-J52</f>
        <v>162</v>
      </c>
      <c r="AA52" s="126">
        <f>Z52*H52</f>
        <v>7100.46</v>
      </c>
      <c r="AB52" s="127">
        <f>IF(I52=0,"",K52/I52)</f>
        <v>0.71528999999999998</v>
      </c>
      <c r="AC52" s="51" t="b">
        <f>I52=(K52+AA52)</f>
        <v>1</v>
      </c>
      <c r="AD52" s="54">
        <f>I52-(K52+AA52)</f>
        <v>0</v>
      </c>
      <c r="AE52" s="51" t="b">
        <f>G52=(J52+Z52)</f>
        <v>1</v>
      </c>
      <c r="AF52" s="52">
        <f t="shared" si="32"/>
        <v>0</v>
      </c>
    </row>
    <row r="53" spans="2:33" s="49" customFormat="1" ht="39.950000000000003" customHeight="1" x14ac:dyDescent="0.25">
      <c r="B53" s="299" t="s">
        <v>151</v>
      </c>
      <c r="C53" s="295"/>
      <c r="D53" s="295"/>
      <c r="E53" s="295" t="s">
        <v>24</v>
      </c>
      <c r="F53" s="295"/>
      <c r="G53" s="295"/>
      <c r="H53" s="300"/>
      <c r="I53" s="151">
        <f>SUM(I49:I52)</f>
        <v>425031.62</v>
      </c>
      <c r="J53" s="130"/>
      <c r="K53" s="132">
        <f>SUM(K49:K52)</f>
        <v>304020.86</v>
      </c>
      <c r="L53" s="132"/>
      <c r="M53" s="132">
        <v>0</v>
      </c>
      <c r="N53" s="132"/>
      <c r="O53" s="130">
        <f>SUM(O49:O52)</f>
        <v>0</v>
      </c>
      <c r="P53" s="130"/>
      <c r="Q53" s="130">
        <f>SUM(Q49:S52)</f>
        <v>0</v>
      </c>
      <c r="R53" s="130"/>
      <c r="S53" s="156">
        <v>0</v>
      </c>
      <c r="T53" s="260"/>
      <c r="U53" s="259">
        <f>SUM(U49:U52)</f>
        <v>25397.32</v>
      </c>
      <c r="V53" s="260"/>
      <c r="W53" s="259">
        <f>SUM(W49:W52)</f>
        <v>273394.68</v>
      </c>
      <c r="X53" s="260"/>
      <c r="Y53" s="259">
        <f>SUM(Y49:Y52)</f>
        <v>5228.8599999999997</v>
      </c>
      <c r="Z53" s="216"/>
      <c r="AA53" s="157">
        <f>SUM(AA49:AA52)</f>
        <v>121010.76</v>
      </c>
      <c r="AB53" s="136"/>
      <c r="AC53" s="210"/>
      <c r="AD53" s="54"/>
      <c r="AE53" s="51"/>
      <c r="AF53" s="52">
        <f t="shared" si="32"/>
        <v>0</v>
      </c>
      <c r="AG53" s="276">
        <f>W53*1.2829</f>
        <v>350738.03</v>
      </c>
    </row>
    <row r="54" spans="2:33" s="49" customFormat="1" ht="39.950000000000003" customHeight="1" x14ac:dyDescent="0.25">
      <c r="B54" s="115">
        <v>6</v>
      </c>
      <c r="C54" s="195"/>
      <c r="D54" s="195"/>
      <c r="E54" s="138" t="s">
        <v>152</v>
      </c>
      <c r="F54" s="139"/>
      <c r="G54" s="140"/>
      <c r="H54" s="141"/>
      <c r="I54" s="141"/>
      <c r="J54" s="140"/>
      <c r="K54" s="142"/>
      <c r="L54" s="143"/>
      <c r="M54" s="142"/>
      <c r="N54" s="239"/>
      <c r="O54" s="160"/>
      <c r="P54" s="139"/>
      <c r="Q54" s="141"/>
      <c r="R54" s="139"/>
      <c r="S54" s="141"/>
      <c r="T54" s="141"/>
      <c r="U54" s="141"/>
      <c r="V54" s="141"/>
      <c r="W54" s="141"/>
      <c r="X54" s="141"/>
      <c r="Y54" s="141"/>
      <c r="Z54" s="215"/>
      <c r="AA54" s="144"/>
      <c r="AB54" s="145"/>
      <c r="AC54" s="51"/>
      <c r="AD54" s="54"/>
      <c r="AE54" s="51"/>
      <c r="AF54" s="52"/>
    </row>
    <row r="55" spans="2:33" s="53" customFormat="1" ht="39.950000000000003" customHeight="1" x14ac:dyDescent="0.25">
      <c r="B55" s="116" t="s">
        <v>153</v>
      </c>
      <c r="C55" s="198" t="s">
        <v>189</v>
      </c>
      <c r="D55" s="198" t="s">
        <v>220</v>
      </c>
      <c r="E55" s="117" t="s">
        <v>27</v>
      </c>
      <c r="F55" s="146" t="s">
        <v>4</v>
      </c>
      <c r="G55" s="119">
        <v>455.11</v>
      </c>
      <c r="H55" s="120">
        <v>69.239999999999995</v>
      </c>
      <c r="I55" s="112">
        <f t="shared" si="68"/>
        <v>31511.82</v>
      </c>
      <c r="J55" s="121">
        <f t="shared" ref="J55:K57" si="74">L55+N55+P55+R55+T55+V55+X55</f>
        <v>0</v>
      </c>
      <c r="K55" s="122">
        <f t="shared" si="74"/>
        <v>0</v>
      </c>
      <c r="L55" s="123"/>
      <c r="M55" s="122">
        <f t="shared" ref="M55:M57" si="75">L55*H55</f>
        <v>0</v>
      </c>
      <c r="N55" s="154"/>
      <c r="O55" s="110">
        <f t="shared" ref="O55:O57" si="76">N55*$H55</f>
        <v>0</v>
      </c>
      <c r="P55" s="251"/>
      <c r="Q55" s="252">
        <f t="shared" ref="Q55:Q57" si="77">P55*$H55</f>
        <v>0</v>
      </c>
      <c r="R55" s="124"/>
      <c r="S55" s="158">
        <f t="shared" ref="S55:S57" si="78">R55*$H55</f>
        <v>0</v>
      </c>
      <c r="T55" s="268"/>
      <c r="U55" s="258">
        <f t="shared" ref="U55:U57" si="79">T55*$H55</f>
        <v>0</v>
      </c>
      <c r="V55" s="268"/>
      <c r="W55" s="258">
        <f t="shared" ref="W55:W57" si="80">V55*$H55</f>
        <v>0</v>
      </c>
      <c r="X55" s="268"/>
      <c r="Y55" s="258">
        <f t="shared" ref="Y55:Y57" si="81">X55*$H55</f>
        <v>0</v>
      </c>
      <c r="Z55" s="125">
        <f>G55-J55</f>
        <v>455.11</v>
      </c>
      <c r="AA55" s="126">
        <f>Z55*H55</f>
        <v>31511.82</v>
      </c>
      <c r="AB55" s="127">
        <f>IF(I55=0,"",K55/I55)</f>
        <v>0</v>
      </c>
      <c r="AC55" s="51" t="b">
        <f>I55=(K55+AA55)</f>
        <v>1</v>
      </c>
      <c r="AD55" s="54">
        <f>I55-(K55+AA55)</f>
        <v>0</v>
      </c>
      <c r="AE55" s="51" t="b">
        <f>G55=(J55+Z55)</f>
        <v>1</v>
      </c>
      <c r="AF55" s="52">
        <f>G55-(J55+Z55)</f>
        <v>0</v>
      </c>
    </row>
    <row r="56" spans="2:33" s="53" customFormat="1" ht="39.950000000000003" customHeight="1" x14ac:dyDescent="0.25">
      <c r="B56" s="116" t="s">
        <v>53</v>
      </c>
      <c r="C56" s="198" t="s">
        <v>189</v>
      </c>
      <c r="D56" s="198" t="s">
        <v>221</v>
      </c>
      <c r="E56" s="128" t="s">
        <v>154</v>
      </c>
      <c r="F56" s="146" t="s">
        <v>4</v>
      </c>
      <c r="G56" s="119">
        <v>455.11</v>
      </c>
      <c r="H56" s="159">
        <v>91.37</v>
      </c>
      <c r="I56" s="112">
        <f t="shared" si="68"/>
        <v>41583.4</v>
      </c>
      <c r="J56" s="121">
        <f t="shared" si="74"/>
        <v>0</v>
      </c>
      <c r="K56" s="122">
        <f t="shared" si="74"/>
        <v>0</v>
      </c>
      <c r="L56" s="123"/>
      <c r="M56" s="122">
        <f t="shared" si="75"/>
        <v>0</v>
      </c>
      <c r="N56" s="154"/>
      <c r="O56" s="110">
        <f t="shared" si="76"/>
        <v>0</v>
      </c>
      <c r="P56" s="251"/>
      <c r="Q56" s="252">
        <f t="shared" si="77"/>
        <v>0</v>
      </c>
      <c r="R56" s="124"/>
      <c r="S56" s="158">
        <f t="shared" si="78"/>
        <v>0</v>
      </c>
      <c r="T56" s="268"/>
      <c r="U56" s="258">
        <f t="shared" si="79"/>
        <v>0</v>
      </c>
      <c r="V56" s="268"/>
      <c r="W56" s="258">
        <f t="shared" si="80"/>
        <v>0</v>
      </c>
      <c r="X56" s="268"/>
      <c r="Y56" s="258">
        <f t="shared" si="81"/>
        <v>0</v>
      </c>
      <c r="Z56" s="125">
        <f>G56-J56</f>
        <v>455.11</v>
      </c>
      <c r="AA56" s="126">
        <f>Z56*H56</f>
        <v>41583.4</v>
      </c>
      <c r="AB56" s="127">
        <f>IF(I56=0,"",K56/I56)</f>
        <v>0</v>
      </c>
      <c r="AC56" s="51" t="b">
        <f>I56=(K56+AA56)</f>
        <v>1</v>
      </c>
      <c r="AD56" s="54">
        <f>I56-(K56+AA56)</f>
        <v>0</v>
      </c>
      <c r="AE56" s="51" t="b">
        <f>G56=(J56+Z56)</f>
        <v>1</v>
      </c>
      <c r="AF56" s="52">
        <f>G56-(J56+Z56)</f>
        <v>0</v>
      </c>
    </row>
    <row r="57" spans="2:33" s="53" customFormat="1" ht="39.950000000000003" customHeight="1" x14ac:dyDescent="0.25">
      <c r="B57" s="116" t="s">
        <v>54</v>
      </c>
      <c r="C57" s="198" t="s">
        <v>206</v>
      </c>
      <c r="D57" s="198" t="s">
        <v>222</v>
      </c>
      <c r="E57" s="128" t="s">
        <v>155</v>
      </c>
      <c r="F57" s="146" t="s">
        <v>4</v>
      </c>
      <c r="G57" s="119">
        <v>910.22</v>
      </c>
      <c r="H57" s="159">
        <v>27</v>
      </c>
      <c r="I57" s="112">
        <f t="shared" si="68"/>
        <v>24575.94</v>
      </c>
      <c r="J57" s="121">
        <f t="shared" si="74"/>
        <v>0</v>
      </c>
      <c r="K57" s="122">
        <f t="shared" si="74"/>
        <v>0</v>
      </c>
      <c r="L57" s="123"/>
      <c r="M57" s="122">
        <f t="shared" si="75"/>
        <v>0</v>
      </c>
      <c r="N57" s="108"/>
      <c r="O57" s="110">
        <f t="shared" si="76"/>
        <v>0</v>
      </c>
      <c r="P57" s="253"/>
      <c r="Q57" s="252">
        <f t="shared" si="77"/>
        <v>0</v>
      </c>
      <c r="R57" s="148"/>
      <c r="S57" s="158">
        <f t="shared" si="78"/>
        <v>0</v>
      </c>
      <c r="T57" s="268"/>
      <c r="U57" s="258">
        <f t="shared" si="79"/>
        <v>0</v>
      </c>
      <c r="V57" s="268"/>
      <c r="W57" s="258">
        <f t="shared" si="80"/>
        <v>0</v>
      </c>
      <c r="X57" s="268"/>
      <c r="Y57" s="258">
        <f t="shared" si="81"/>
        <v>0</v>
      </c>
      <c r="Z57" s="125">
        <f>G57-J57</f>
        <v>910.22</v>
      </c>
      <c r="AA57" s="126">
        <f>Z57*H57</f>
        <v>24575.94</v>
      </c>
      <c r="AB57" s="127">
        <f>IF(I57=0,"",K57/I57)</f>
        <v>0</v>
      </c>
      <c r="AC57" s="51"/>
      <c r="AD57" s="54"/>
      <c r="AE57" s="51"/>
      <c r="AF57" s="52"/>
    </row>
    <row r="58" spans="2:33" s="49" customFormat="1" ht="39.950000000000003" customHeight="1" x14ac:dyDescent="0.25">
      <c r="B58" s="295"/>
      <c r="C58" s="295"/>
      <c r="D58" s="295"/>
      <c r="E58" s="295"/>
      <c r="F58" s="295"/>
      <c r="G58" s="295"/>
      <c r="H58" s="129"/>
      <c r="I58" s="130">
        <f>SUM(I55:I57)</f>
        <v>97671.16</v>
      </c>
      <c r="J58" s="131"/>
      <c r="K58" s="132">
        <f>SUM(K55:K57)</f>
        <v>0</v>
      </c>
      <c r="L58" s="133"/>
      <c r="M58" s="132">
        <f>SUM(M49:M56)</f>
        <v>0</v>
      </c>
      <c r="N58" s="134"/>
      <c r="O58" s="130">
        <f>SUM(O55:S57)</f>
        <v>0</v>
      </c>
      <c r="P58" s="134"/>
      <c r="Q58" s="130">
        <f>SUM(Q55:Q57)</f>
        <v>0</v>
      </c>
      <c r="R58" s="134"/>
      <c r="S58" s="130">
        <f>SUM(S49:S56)</f>
        <v>0</v>
      </c>
      <c r="T58" s="259"/>
      <c r="U58" s="259">
        <f>SUM(U55:Y57)</f>
        <v>0</v>
      </c>
      <c r="V58" s="259"/>
      <c r="W58" s="259">
        <f>SUM(W55:Y57)</f>
        <v>0</v>
      </c>
      <c r="X58" s="259"/>
      <c r="Y58" s="259">
        <f>SUM(Y55:Y57)</f>
        <v>0</v>
      </c>
      <c r="Z58" s="135"/>
      <c r="AA58" s="136">
        <f>SUM(AA55:AA57)</f>
        <v>97671.16</v>
      </c>
      <c r="AB58" s="137">
        <f>IF(I58=0,"",K58/I58)</f>
        <v>0</v>
      </c>
      <c r="AC58" s="51"/>
      <c r="AD58" s="54"/>
      <c r="AE58" s="51"/>
      <c r="AF58" s="52">
        <f>G58-(J58+Z58)</f>
        <v>0</v>
      </c>
    </row>
    <row r="59" spans="2:33" s="49" customFormat="1" ht="39.950000000000003" customHeight="1" x14ac:dyDescent="0.25">
      <c r="B59" s="115">
        <v>7</v>
      </c>
      <c r="C59" s="195"/>
      <c r="D59" s="195"/>
      <c r="E59" s="138" t="s">
        <v>156</v>
      </c>
      <c r="F59" s="139"/>
      <c r="G59" s="140"/>
      <c r="H59" s="141"/>
      <c r="I59" s="141"/>
      <c r="J59" s="140"/>
      <c r="K59" s="142"/>
      <c r="L59" s="143"/>
      <c r="M59" s="142"/>
      <c r="N59" s="239"/>
      <c r="O59" s="160"/>
      <c r="P59" s="139"/>
      <c r="Q59" s="141"/>
      <c r="R59" s="139"/>
      <c r="S59" s="141"/>
      <c r="T59" s="141"/>
      <c r="U59" s="141"/>
      <c r="V59" s="141"/>
      <c r="W59" s="141"/>
      <c r="X59" s="141"/>
      <c r="Y59" s="141"/>
      <c r="Z59" s="215"/>
      <c r="AA59" s="144"/>
      <c r="AB59" s="145"/>
      <c r="AC59" s="51"/>
      <c r="AD59" s="54"/>
      <c r="AE59" s="51"/>
      <c r="AF59" s="52"/>
    </row>
    <row r="60" spans="2:33" s="53" customFormat="1" ht="39.950000000000003" customHeight="1" x14ac:dyDescent="0.25">
      <c r="B60" s="116" t="s">
        <v>55</v>
      </c>
      <c r="C60" s="198" t="s">
        <v>184</v>
      </c>
      <c r="D60" s="198" t="s">
        <v>191</v>
      </c>
      <c r="E60" s="117" t="s">
        <v>122</v>
      </c>
      <c r="F60" s="146" t="s">
        <v>4</v>
      </c>
      <c r="G60" s="119">
        <v>5085</v>
      </c>
      <c r="H60" s="112">
        <v>0.48</v>
      </c>
      <c r="I60" s="112">
        <f>G60*H60</f>
        <v>2440.8000000000002</v>
      </c>
      <c r="J60" s="121">
        <f t="shared" ref="J60:K67" si="82">L60+N60+P60+R60+T60+V60+X60</f>
        <v>0</v>
      </c>
      <c r="K60" s="122">
        <f t="shared" si="82"/>
        <v>0</v>
      </c>
      <c r="L60" s="123"/>
      <c r="M60" s="122">
        <f t="shared" ref="M60:M67" si="83">L60*H60</f>
        <v>0</v>
      </c>
      <c r="N60" s="154"/>
      <c r="O60" s="110">
        <f t="shared" ref="O60:O67" si="84">N60*$H60</f>
        <v>0</v>
      </c>
      <c r="P60" s="251"/>
      <c r="Q60" s="252">
        <f t="shared" ref="Q60:Q67" si="85">P60*$H60</f>
        <v>0</v>
      </c>
      <c r="R60" s="124"/>
      <c r="S60" s="158">
        <f t="shared" ref="S60:S67" si="86">R60*$H60</f>
        <v>0</v>
      </c>
      <c r="T60" s="268"/>
      <c r="U60" s="258">
        <f t="shared" ref="U60:U67" si="87">T60*$H60</f>
        <v>0</v>
      </c>
      <c r="V60" s="268"/>
      <c r="W60" s="258">
        <f t="shared" ref="W60:W67" si="88">V60*$H60</f>
        <v>0</v>
      </c>
      <c r="X60" s="268"/>
      <c r="Y60" s="258">
        <f t="shared" ref="Y60:Y67" si="89">X60*$H60</f>
        <v>0</v>
      </c>
      <c r="Z60" s="125">
        <f t="shared" ref="Z60:Z67" si="90">G60-J60</f>
        <v>5085</v>
      </c>
      <c r="AA60" s="126">
        <f t="shared" ref="AA60:AA67" si="91">Z60*H60</f>
        <v>2440.8000000000002</v>
      </c>
      <c r="AB60" s="127">
        <f t="shared" ref="AB60:AB67" si="92">IF(I60=0,"",K60/I60)</f>
        <v>0</v>
      </c>
      <c r="AC60" s="51" t="b">
        <f t="shared" ref="AC60:AC67" si="93">I60=(K60+AA60)</f>
        <v>1</v>
      </c>
      <c r="AD60" s="54">
        <f t="shared" ref="AD60:AD67" si="94">I60-(K60+AA60)</f>
        <v>0</v>
      </c>
      <c r="AE60" s="51" t="b">
        <f t="shared" ref="AE60:AE67" si="95">G60=(J60+Z60)</f>
        <v>1</v>
      </c>
      <c r="AF60" s="52">
        <f>G60-(J60+Z60)</f>
        <v>0</v>
      </c>
    </row>
    <row r="61" spans="2:33" s="53" customFormat="1" ht="39.950000000000003" customHeight="1" x14ac:dyDescent="0.25">
      <c r="B61" s="116" t="s">
        <v>56</v>
      </c>
      <c r="C61" s="198" t="s">
        <v>189</v>
      </c>
      <c r="D61" s="198" t="s">
        <v>223</v>
      </c>
      <c r="E61" s="128" t="s">
        <v>157</v>
      </c>
      <c r="F61" s="146" t="s">
        <v>3</v>
      </c>
      <c r="G61" s="119">
        <v>203.4</v>
      </c>
      <c r="H61" s="112">
        <v>1148.68</v>
      </c>
      <c r="I61" s="112">
        <f>G61*H61</f>
        <v>233641.51</v>
      </c>
      <c r="J61" s="121">
        <f t="shared" si="82"/>
        <v>0</v>
      </c>
      <c r="K61" s="122">
        <f t="shared" si="82"/>
        <v>0</v>
      </c>
      <c r="L61" s="123"/>
      <c r="M61" s="122">
        <f t="shared" si="83"/>
        <v>0</v>
      </c>
      <c r="N61" s="108"/>
      <c r="O61" s="110">
        <f t="shared" si="84"/>
        <v>0</v>
      </c>
      <c r="P61" s="253"/>
      <c r="Q61" s="252">
        <f t="shared" si="85"/>
        <v>0</v>
      </c>
      <c r="R61" s="148"/>
      <c r="S61" s="158">
        <f t="shared" si="86"/>
        <v>0</v>
      </c>
      <c r="T61" s="268"/>
      <c r="U61" s="258">
        <f t="shared" si="87"/>
        <v>0</v>
      </c>
      <c r="V61" s="268"/>
      <c r="W61" s="258">
        <f t="shared" si="88"/>
        <v>0</v>
      </c>
      <c r="X61" s="268"/>
      <c r="Y61" s="258">
        <f t="shared" si="89"/>
        <v>0</v>
      </c>
      <c r="Z61" s="125">
        <f t="shared" si="90"/>
        <v>203.4</v>
      </c>
      <c r="AA61" s="126">
        <f t="shared" si="91"/>
        <v>233641.51</v>
      </c>
      <c r="AB61" s="127">
        <f t="shared" si="92"/>
        <v>0</v>
      </c>
      <c r="AC61" s="51" t="b">
        <f t="shared" si="93"/>
        <v>1</v>
      </c>
      <c r="AD61" s="54">
        <f t="shared" si="94"/>
        <v>0</v>
      </c>
      <c r="AE61" s="51" t="b">
        <f t="shared" si="95"/>
        <v>1</v>
      </c>
      <c r="AF61" s="52"/>
    </row>
    <row r="62" spans="2:33" s="53" customFormat="1" ht="39.950000000000003" customHeight="1" x14ac:dyDescent="0.25">
      <c r="B62" s="116" t="s">
        <v>57</v>
      </c>
      <c r="C62" s="198" t="s">
        <v>184</v>
      </c>
      <c r="D62" s="198" t="s">
        <v>224</v>
      </c>
      <c r="E62" s="128" t="s">
        <v>132</v>
      </c>
      <c r="F62" s="146" t="s">
        <v>6</v>
      </c>
      <c r="G62" s="119">
        <v>4068</v>
      </c>
      <c r="H62" s="112">
        <v>3.67</v>
      </c>
      <c r="I62" s="112">
        <f t="shared" ref="I62:I67" si="96">G62*H62</f>
        <v>14929.56</v>
      </c>
      <c r="J62" s="121">
        <f t="shared" si="82"/>
        <v>0</v>
      </c>
      <c r="K62" s="122">
        <f t="shared" si="82"/>
        <v>0</v>
      </c>
      <c r="L62" s="123"/>
      <c r="M62" s="122">
        <f t="shared" si="83"/>
        <v>0</v>
      </c>
      <c r="N62" s="108"/>
      <c r="O62" s="110">
        <f t="shared" si="84"/>
        <v>0</v>
      </c>
      <c r="P62" s="253"/>
      <c r="Q62" s="252">
        <f t="shared" si="85"/>
        <v>0</v>
      </c>
      <c r="R62" s="148"/>
      <c r="S62" s="158">
        <f t="shared" si="86"/>
        <v>0</v>
      </c>
      <c r="T62" s="268"/>
      <c r="U62" s="258">
        <f t="shared" si="87"/>
        <v>0</v>
      </c>
      <c r="V62" s="268"/>
      <c r="W62" s="258">
        <f t="shared" si="88"/>
        <v>0</v>
      </c>
      <c r="X62" s="268"/>
      <c r="Y62" s="258">
        <f t="shared" si="89"/>
        <v>0</v>
      </c>
      <c r="Z62" s="125">
        <f t="shared" si="90"/>
        <v>4068</v>
      </c>
      <c r="AA62" s="126">
        <f t="shared" si="91"/>
        <v>14929.56</v>
      </c>
      <c r="AB62" s="127">
        <f t="shared" si="92"/>
        <v>0</v>
      </c>
      <c r="AC62" s="51" t="b">
        <f t="shared" si="93"/>
        <v>1</v>
      </c>
      <c r="AD62" s="54">
        <f t="shared" si="94"/>
        <v>0</v>
      </c>
      <c r="AE62" s="51" t="b">
        <f t="shared" si="95"/>
        <v>1</v>
      </c>
      <c r="AF62" s="52"/>
    </row>
    <row r="63" spans="2:33" s="53" customFormat="1" ht="39.950000000000003" customHeight="1" x14ac:dyDescent="0.25">
      <c r="B63" s="116" t="s">
        <v>58</v>
      </c>
      <c r="C63" s="198" t="s">
        <v>184</v>
      </c>
      <c r="D63" s="198" t="s">
        <v>202</v>
      </c>
      <c r="E63" s="128" t="s">
        <v>133</v>
      </c>
      <c r="F63" s="146" t="s">
        <v>21</v>
      </c>
      <c r="G63" s="119">
        <v>6</v>
      </c>
      <c r="H63" s="112">
        <v>154.97999999999999</v>
      </c>
      <c r="I63" s="112">
        <f t="shared" si="96"/>
        <v>929.88</v>
      </c>
      <c r="J63" s="121">
        <f t="shared" si="82"/>
        <v>0</v>
      </c>
      <c r="K63" s="122">
        <f t="shared" si="82"/>
        <v>0</v>
      </c>
      <c r="L63" s="123"/>
      <c r="M63" s="122">
        <f t="shared" si="83"/>
        <v>0</v>
      </c>
      <c r="N63" s="108"/>
      <c r="O63" s="110">
        <f t="shared" si="84"/>
        <v>0</v>
      </c>
      <c r="P63" s="253"/>
      <c r="Q63" s="252">
        <f t="shared" si="85"/>
        <v>0</v>
      </c>
      <c r="R63" s="148"/>
      <c r="S63" s="158">
        <f t="shared" si="86"/>
        <v>0</v>
      </c>
      <c r="T63" s="268"/>
      <c r="U63" s="258">
        <f t="shared" si="87"/>
        <v>0</v>
      </c>
      <c r="V63" s="268"/>
      <c r="W63" s="258">
        <f t="shared" si="88"/>
        <v>0</v>
      </c>
      <c r="X63" s="268"/>
      <c r="Y63" s="258">
        <f t="shared" si="89"/>
        <v>0</v>
      </c>
      <c r="Z63" s="125">
        <f t="shared" si="90"/>
        <v>6</v>
      </c>
      <c r="AA63" s="126">
        <f t="shared" si="91"/>
        <v>929.88</v>
      </c>
      <c r="AB63" s="127">
        <f t="shared" si="92"/>
        <v>0</v>
      </c>
      <c r="AC63" s="51" t="b">
        <f t="shared" si="93"/>
        <v>1</v>
      </c>
      <c r="AD63" s="54">
        <f t="shared" si="94"/>
        <v>0</v>
      </c>
      <c r="AE63" s="51" t="b">
        <f t="shared" si="95"/>
        <v>1</v>
      </c>
      <c r="AF63" s="52"/>
    </row>
    <row r="64" spans="2:33" s="53" customFormat="1" ht="39.950000000000003" customHeight="1" x14ac:dyDescent="0.25">
      <c r="B64" s="116" t="s">
        <v>59</v>
      </c>
      <c r="C64" s="198" t="s">
        <v>189</v>
      </c>
      <c r="D64" s="198" t="s">
        <v>190</v>
      </c>
      <c r="E64" s="128" t="s">
        <v>112</v>
      </c>
      <c r="F64" s="146" t="s">
        <v>3</v>
      </c>
      <c r="G64" s="119">
        <v>76.28</v>
      </c>
      <c r="H64" s="112">
        <v>251.37</v>
      </c>
      <c r="I64" s="112">
        <f t="shared" si="96"/>
        <v>19174.5</v>
      </c>
      <c r="J64" s="121">
        <f t="shared" si="82"/>
        <v>0</v>
      </c>
      <c r="K64" s="122">
        <f t="shared" si="82"/>
        <v>0</v>
      </c>
      <c r="L64" s="123"/>
      <c r="M64" s="122">
        <f t="shared" si="83"/>
        <v>0</v>
      </c>
      <c r="N64" s="108"/>
      <c r="O64" s="110">
        <f t="shared" si="84"/>
        <v>0</v>
      </c>
      <c r="P64" s="253"/>
      <c r="Q64" s="252">
        <f t="shared" si="85"/>
        <v>0</v>
      </c>
      <c r="R64" s="148"/>
      <c r="S64" s="158">
        <f t="shared" si="86"/>
        <v>0</v>
      </c>
      <c r="T64" s="268"/>
      <c r="U64" s="258">
        <f t="shared" si="87"/>
        <v>0</v>
      </c>
      <c r="V64" s="268"/>
      <c r="W64" s="258">
        <f t="shared" si="88"/>
        <v>0</v>
      </c>
      <c r="X64" s="268"/>
      <c r="Y64" s="258">
        <f t="shared" si="89"/>
        <v>0</v>
      </c>
      <c r="Z64" s="125">
        <f t="shared" si="90"/>
        <v>76.28</v>
      </c>
      <c r="AA64" s="126">
        <f t="shared" si="91"/>
        <v>19174.5</v>
      </c>
      <c r="AB64" s="127">
        <f t="shared" si="92"/>
        <v>0</v>
      </c>
      <c r="AC64" s="51" t="b">
        <f t="shared" si="93"/>
        <v>1</v>
      </c>
      <c r="AD64" s="54">
        <f t="shared" si="94"/>
        <v>0</v>
      </c>
      <c r="AE64" s="51" t="b">
        <f t="shared" si="95"/>
        <v>1</v>
      </c>
      <c r="AF64" s="52"/>
    </row>
    <row r="65" spans="2:32" s="53" customFormat="1" ht="39.950000000000003" customHeight="1" x14ac:dyDescent="0.25">
      <c r="B65" s="116" t="s">
        <v>60</v>
      </c>
      <c r="C65" s="198" t="s">
        <v>189</v>
      </c>
      <c r="D65" s="198" t="s">
        <v>225</v>
      </c>
      <c r="E65" s="128" t="s">
        <v>124</v>
      </c>
      <c r="F65" s="146" t="s">
        <v>4</v>
      </c>
      <c r="G65" s="119">
        <v>6102</v>
      </c>
      <c r="H65" s="112">
        <v>3.46</v>
      </c>
      <c r="I65" s="112">
        <f t="shared" si="96"/>
        <v>21112.92</v>
      </c>
      <c r="J65" s="121">
        <f t="shared" si="82"/>
        <v>0</v>
      </c>
      <c r="K65" s="122">
        <f t="shared" si="82"/>
        <v>0</v>
      </c>
      <c r="L65" s="123"/>
      <c r="M65" s="122">
        <f t="shared" si="83"/>
        <v>0</v>
      </c>
      <c r="N65" s="108"/>
      <c r="O65" s="110">
        <f t="shared" si="84"/>
        <v>0</v>
      </c>
      <c r="P65" s="253"/>
      <c r="Q65" s="252">
        <f t="shared" si="85"/>
        <v>0</v>
      </c>
      <c r="R65" s="148"/>
      <c r="S65" s="158">
        <f t="shared" si="86"/>
        <v>0</v>
      </c>
      <c r="T65" s="268"/>
      <c r="U65" s="258">
        <f t="shared" si="87"/>
        <v>0</v>
      </c>
      <c r="V65" s="268"/>
      <c r="W65" s="258">
        <f t="shared" si="88"/>
        <v>0</v>
      </c>
      <c r="X65" s="268"/>
      <c r="Y65" s="258">
        <f t="shared" si="89"/>
        <v>0</v>
      </c>
      <c r="Z65" s="125">
        <f t="shared" si="90"/>
        <v>6102</v>
      </c>
      <c r="AA65" s="126">
        <f t="shared" si="91"/>
        <v>21112.92</v>
      </c>
      <c r="AB65" s="127">
        <f t="shared" si="92"/>
        <v>0</v>
      </c>
      <c r="AC65" s="51" t="b">
        <f t="shared" si="93"/>
        <v>1</v>
      </c>
      <c r="AD65" s="54">
        <f t="shared" si="94"/>
        <v>0</v>
      </c>
      <c r="AE65" s="51" t="b">
        <f t="shared" si="95"/>
        <v>1</v>
      </c>
      <c r="AF65" s="52"/>
    </row>
    <row r="66" spans="2:32" s="53" customFormat="1" ht="39.950000000000003" customHeight="1" x14ac:dyDescent="0.25">
      <c r="B66" s="116" t="s">
        <v>61</v>
      </c>
      <c r="C66" s="198" t="s">
        <v>189</v>
      </c>
      <c r="D66" s="198" t="s">
        <v>226</v>
      </c>
      <c r="E66" s="128" t="s">
        <v>158</v>
      </c>
      <c r="F66" s="146" t="s">
        <v>3</v>
      </c>
      <c r="G66" s="119">
        <v>76.28</v>
      </c>
      <c r="H66" s="112">
        <v>1038.3699999999999</v>
      </c>
      <c r="I66" s="112">
        <f t="shared" si="96"/>
        <v>79206.86</v>
      </c>
      <c r="J66" s="121">
        <f t="shared" si="82"/>
        <v>0</v>
      </c>
      <c r="K66" s="122">
        <f t="shared" si="82"/>
        <v>0</v>
      </c>
      <c r="L66" s="123"/>
      <c r="M66" s="122">
        <f t="shared" si="83"/>
        <v>0</v>
      </c>
      <c r="N66" s="154"/>
      <c r="O66" s="110">
        <f t="shared" si="84"/>
        <v>0</v>
      </c>
      <c r="P66" s="251"/>
      <c r="Q66" s="252">
        <f t="shared" si="85"/>
        <v>0</v>
      </c>
      <c r="R66" s="124"/>
      <c r="S66" s="158">
        <f t="shared" si="86"/>
        <v>0</v>
      </c>
      <c r="T66" s="268"/>
      <c r="U66" s="258">
        <f t="shared" si="87"/>
        <v>0</v>
      </c>
      <c r="V66" s="268"/>
      <c r="W66" s="258">
        <f t="shared" si="88"/>
        <v>0</v>
      </c>
      <c r="X66" s="268"/>
      <c r="Y66" s="258">
        <f t="shared" si="89"/>
        <v>0</v>
      </c>
      <c r="Z66" s="125">
        <f t="shared" si="90"/>
        <v>76.28</v>
      </c>
      <c r="AA66" s="126">
        <f t="shared" si="91"/>
        <v>79206.86</v>
      </c>
      <c r="AB66" s="127">
        <f t="shared" si="92"/>
        <v>0</v>
      </c>
      <c r="AC66" s="51" t="b">
        <f t="shared" si="93"/>
        <v>1</v>
      </c>
      <c r="AD66" s="54">
        <f t="shared" si="94"/>
        <v>0</v>
      </c>
      <c r="AE66" s="51" t="b">
        <f t="shared" si="95"/>
        <v>1</v>
      </c>
      <c r="AF66" s="52">
        <f>G66-(J66+Z66)</f>
        <v>0</v>
      </c>
    </row>
    <row r="67" spans="2:32" s="53" customFormat="1" ht="39.950000000000003" customHeight="1" x14ac:dyDescent="0.25">
      <c r="B67" s="116" t="s">
        <v>62</v>
      </c>
      <c r="C67" s="198" t="s">
        <v>184</v>
      </c>
      <c r="D67" s="198" t="s">
        <v>227</v>
      </c>
      <c r="E67" s="128" t="s">
        <v>159</v>
      </c>
      <c r="F67" s="146" t="s">
        <v>6</v>
      </c>
      <c r="G67" s="119">
        <v>1525.5</v>
      </c>
      <c r="H67" s="112">
        <v>3.67</v>
      </c>
      <c r="I67" s="112">
        <f t="shared" si="96"/>
        <v>5598.59</v>
      </c>
      <c r="J67" s="121">
        <f t="shared" si="82"/>
        <v>0</v>
      </c>
      <c r="K67" s="122">
        <f t="shared" si="82"/>
        <v>0</v>
      </c>
      <c r="L67" s="123"/>
      <c r="M67" s="122">
        <f t="shared" si="83"/>
        <v>0</v>
      </c>
      <c r="N67" s="154"/>
      <c r="O67" s="110">
        <f t="shared" si="84"/>
        <v>0</v>
      </c>
      <c r="P67" s="251"/>
      <c r="Q67" s="252">
        <f t="shared" si="85"/>
        <v>0</v>
      </c>
      <c r="R67" s="124"/>
      <c r="S67" s="158">
        <f t="shared" si="86"/>
        <v>0</v>
      </c>
      <c r="T67" s="268"/>
      <c r="U67" s="258">
        <f t="shared" si="87"/>
        <v>0</v>
      </c>
      <c r="V67" s="268"/>
      <c r="W67" s="258">
        <f t="shared" si="88"/>
        <v>0</v>
      </c>
      <c r="X67" s="268"/>
      <c r="Y67" s="258">
        <f t="shared" si="89"/>
        <v>0</v>
      </c>
      <c r="Z67" s="125">
        <f t="shared" si="90"/>
        <v>1525.5</v>
      </c>
      <c r="AA67" s="126">
        <f t="shared" si="91"/>
        <v>5598.59</v>
      </c>
      <c r="AB67" s="127">
        <f t="shared" si="92"/>
        <v>0</v>
      </c>
      <c r="AC67" s="51" t="b">
        <f t="shared" si="93"/>
        <v>1</v>
      </c>
      <c r="AD67" s="54">
        <f t="shared" si="94"/>
        <v>0</v>
      </c>
      <c r="AE67" s="51" t="b">
        <f t="shared" si="95"/>
        <v>1</v>
      </c>
      <c r="AF67" s="52">
        <f>G67-(J67+Z67)</f>
        <v>0</v>
      </c>
    </row>
    <row r="68" spans="2:32" s="49" customFormat="1" ht="39.950000000000003" customHeight="1" x14ac:dyDescent="0.25">
      <c r="B68" s="295"/>
      <c r="C68" s="295"/>
      <c r="D68" s="295"/>
      <c r="E68" s="295" t="s">
        <v>23</v>
      </c>
      <c r="F68" s="295"/>
      <c r="G68" s="295"/>
      <c r="H68" s="129"/>
      <c r="I68" s="130">
        <f>SUM(I60:I67)</f>
        <v>377034.62</v>
      </c>
      <c r="J68" s="131"/>
      <c r="K68" s="259">
        <f>SUM(K60:K67)</f>
        <v>0</v>
      </c>
      <c r="L68" s="133"/>
      <c r="M68" s="132">
        <v>0</v>
      </c>
      <c r="N68" s="134"/>
      <c r="O68" s="130">
        <f>SUM(O60:O67)</f>
        <v>0</v>
      </c>
      <c r="P68" s="134"/>
      <c r="Q68" s="130">
        <f>SUM(Q60:S67)</f>
        <v>0</v>
      </c>
      <c r="R68" s="134"/>
      <c r="S68" s="130">
        <v>0</v>
      </c>
      <c r="T68" s="259"/>
      <c r="U68" s="259">
        <f>SUM(U60:U67)</f>
        <v>0</v>
      </c>
      <c r="V68" s="259"/>
      <c r="W68" s="259">
        <f>SUM(W60:W67)</f>
        <v>0</v>
      </c>
      <c r="X68" s="259"/>
      <c r="Y68" s="259">
        <f>SUM(Y60:Y67)</f>
        <v>0</v>
      </c>
      <c r="Z68" s="135"/>
      <c r="AA68" s="136">
        <f>SUM(AA60:AA67)</f>
        <v>377034.62</v>
      </c>
      <c r="AB68" s="137"/>
      <c r="AC68" s="51"/>
      <c r="AD68" s="54"/>
      <c r="AE68" s="51"/>
      <c r="AF68" s="52"/>
    </row>
    <row r="69" spans="2:32" s="49" customFormat="1" ht="39.950000000000003" customHeight="1" x14ac:dyDescent="0.25">
      <c r="B69" s="115">
        <v>8</v>
      </c>
      <c r="C69" s="195"/>
      <c r="D69" s="195"/>
      <c r="E69" s="138" t="s">
        <v>160</v>
      </c>
      <c r="F69" s="139"/>
      <c r="G69" s="140"/>
      <c r="H69" s="141"/>
      <c r="I69" s="141"/>
      <c r="J69" s="140"/>
      <c r="K69" s="142"/>
      <c r="L69" s="143"/>
      <c r="M69" s="142"/>
      <c r="N69" s="239"/>
      <c r="O69" s="160"/>
      <c r="P69" s="139"/>
      <c r="Q69" s="141"/>
      <c r="R69" s="139"/>
      <c r="S69" s="141"/>
      <c r="T69" s="141"/>
      <c r="U69" s="141"/>
      <c r="V69" s="141"/>
      <c r="W69" s="141"/>
      <c r="X69" s="141"/>
      <c r="Y69" s="141"/>
      <c r="Z69" s="215"/>
      <c r="AA69" s="144"/>
      <c r="AB69" s="145"/>
      <c r="AC69" s="51"/>
      <c r="AD69" s="54"/>
      <c r="AE69" s="51"/>
      <c r="AF69" s="52"/>
    </row>
    <row r="70" spans="2:32" s="53" customFormat="1" ht="80.25" customHeight="1" x14ac:dyDescent="0.25">
      <c r="B70" s="116" t="s">
        <v>63</v>
      </c>
      <c r="C70" s="198" t="s">
        <v>206</v>
      </c>
      <c r="D70" s="198" t="s">
        <v>207</v>
      </c>
      <c r="E70" s="117" t="s">
        <v>138</v>
      </c>
      <c r="F70" s="146" t="s">
        <v>1</v>
      </c>
      <c r="G70" s="119">
        <v>57</v>
      </c>
      <c r="H70" s="112">
        <v>49.24</v>
      </c>
      <c r="I70" s="112">
        <f t="shared" ref="I70" si="97">G70*H70</f>
        <v>2806.68</v>
      </c>
      <c r="J70" s="121">
        <f t="shared" ref="J70:K73" si="98">L70+N70+P70+R70+T70+V70+X70</f>
        <v>0</v>
      </c>
      <c r="K70" s="122">
        <f t="shared" si="98"/>
        <v>0</v>
      </c>
      <c r="L70" s="123"/>
      <c r="M70" s="122">
        <f t="shared" ref="M70:M73" si="99">L70*H70</f>
        <v>0</v>
      </c>
      <c r="N70" s="154"/>
      <c r="O70" s="110">
        <f t="shared" ref="O70:O73" si="100">N70*$H70</f>
        <v>0</v>
      </c>
      <c r="P70" s="251"/>
      <c r="Q70" s="252">
        <f t="shared" ref="Q70:Q73" si="101">P70*$H70</f>
        <v>0</v>
      </c>
      <c r="R70" s="124"/>
      <c r="S70" s="158">
        <f t="shared" ref="S70:S73" si="102">R70*$H70</f>
        <v>0</v>
      </c>
      <c r="T70" s="268"/>
      <c r="U70" s="258">
        <f t="shared" ref="U70:U73" si="103">T70*$H70</f>
        <v>0</v>
      </c>
      <c r="V70" s="268"/>
      <c r="W70" s="258">
        <f t="shared" ref="W70:W73" si="104">V70*$H70</f>
        <v>0</v>
      </c>
      <c r="X70" s="268"/>
      <c r="Y70" s="258">
        <f t="shared" ref="Y70:Y73" si="105">X70*$H70</f>
        <v>0</v>
      </c>
      <c r="Z70" s="125">
        <f>G70-J70</f>
        <v>57</v>
      </c>
      <c r="AA70" s="126">
        <f>Z70*H70</f>
        <v>2806.68</v>
      </c>
      <c r="AB70" s="127">
        <f>IF(I70=0,"",K70/I70)</f>
        <v>0</v>
      </c>
      <c r="AC70" s="51" t="b">
        <f>I70=(K70+AA70)</f>
        <v>1</v>
      </c>
      <c r="AD70" s="54">
        <f>I70-(K70+AA70)</f>
        <v>0</v>
      </c>
      <c r="AE70" s="51" t="b">
        <f>G70=(J70+Z70)</f>
        <v>1</v>
      </c>
      <c r="AF70" s="52">
        <f>G70-(J70+Z70)</f>
        <v>0</v>
      </c>
    </row>
    <row r="71" spans="2:32" s="53" customFormat="1" ht="39.950000000000003" customHeight="1" x14ac:dyDescent="0.25">
      <c r="B71" s="116" t="s">
        <v>64</v>
      </c>
      <c r="C71" s="198" t="s">
        <v>184</v>
      </c>
      <c r="D71" s="198" t="s">
        <v>214</v>
      </c>
      <c r="E71" s="128" t="s">
        <v>144</v>
      </c>
      <c r="F71" s="146" t="s">
        <v>3</v>
      </c>
      <c r="G71" s="119">
        <v>5.7</v>
      </c>
      <c r="H71" s="112">
        <v>502.31</v>
      </c>
      <c r="I71" s="112">
        <f>G71*H71</f>
        <v>2863.17</v>
      </c>
      <c r="J71" s="121">
        <f t="shared" si="98"/>
        <v>0</v>
      </c>
      <c r="K71" s="122">
        <f t="shared" si="98"/>
        <v>0</v>
      </c>
      <c r="L71" s="123"/>
      <c r="M71" s="122">
        <f t="shared" si="99"/>
        <v>0</v>
      </c>
      <c r="N71" s="154"/>
      <c r="O71" s="110">
        <f t="shared" si="100"/>
        <v>0</v>
      </c>
      <c r="P71" s="251"/>
      <c r="Q71" s="252">
        <f t="shared" si="101"/>
        <v>0</v>
      </c>
      <c r="R71" s="124"/>
      <c r="S71" s="158">
        <f t="shared" si="102"/>
        <v>0</v>
      </c>
      <c r="T71" s="268"/>
      <c r="U71" s="258">
        <f t="shared" si="103"/>
        <v>0</v>
      </c>
      <c r="V71" s="268"/>
      <c r="W71" s="258">
        <f t="shared" si="104"/>
        <v>0</v>
      </c>
      <c r="X71" s="268"/>
      <c r="Y71" s="258">
        <f t="shared" si="105"/>
        <v>0</v>
      </c>
      <c r="Z71" s="125">
        <f>G71-J71</f>
        <v>5.7</v>
      </c>
      <c r="AA71" s="126">
        <f>Z71*H71</f>
        <v>2863.17</v>
      </c>
      <c r="AB71" s="127">
        <f>IF(I71=0,"",K71/I71)</f>
        <v>0</v>
      </c>
      <c r="AC71" s="51" t="b">
        <f>I71=(K71+AA71)</f>
        <v>1</v>
      </c>
      <c r="AD71" s="54">
        <f>I71-(K71+AA71)</f>
        <v>0</v>
      </c>
      <c r="AE71" s="51" t="b">
        <f>G71=(J71+Z71)</f>
        <v>1</v>
      </c>
      <c r="AF71" s="52">
        <f>G71-(J71+Z71)</f>
        <v>0</v>
      </c>
    </row>
    <row r="72" spans="2:32" s="53" customFormat="1" ht="39.950000000000003" customHeight="1" x14ac:dyDescent="0.25">
      <c r="B72" s="116" t="s">
        <v>65</v>
      </c>
      <c r="C72" s="198" t="s">
        <v>184</v>
      </c>
      <c r="D72" s="198" t="s">
        <v>228</v>
      </c>
      <c r="E72" s="128" t="s">
        <v>139</v>
      </c>
      <c r="F72" s="146" t="s">
        <v>6</v>
      </c>
      <c r="G72" s="119">
        <v>228</v>
      </c>
      <c r="H72" s="112">
        <v>1.1200000000000001</v>
      </c>
      <c r="I72" s="112">
        <f t="shared" ref="I72:I92" si="106">G72*H72</f>
        <v>255.36</v>
      </c>
      <c r="J72" s="121">
        <f t="shared" si="98"/>
        <v>0</v>
      </c>
      <c r="K72" s="122">
        <f t="shared" si="98"/>
        <v>0</v>
      </c>
      <c r="L72" s="123"/>
      <c r="M72" s="122">
        <f t="shared" si="99"/>
        <v>0</v>
      </c>
      <c r="N72" s="154"/>
      <c r="O72" s="110">
        <f t="shared" si="100"/>
        <v>0</v>
      </c>
      <c r="P72" s="251"/>
      <c r="Q72" s="252">
        <f t="shared" si="101"/>
        <v>0</v>
      </c>
      <c r="R72" s="124"/>
      <c r="S72" s="158">
        <f t="shared" si="102"/>
        <v>0</v>
      </c>
      <c r="T72" s="268"/>
      <c r="U72" s="258">
        <f t="shared" si="103"/>
        <v>0</v>
      </c>
      <c r="V72" s="268"/>
      <c r="W72" s="258">
        <f t="shared" si="104"/>
        <v>0</v>
      </c>
      <c r="X72" s="268"/>
      <c r="Y72" s="258">
        <f t="shared" si="105"/>
        <v>0</v>
      </c>
      <c r="Z72" s="125">
        <f>G72-J72</f>
        <v>228</v>
      </c>
      <c r="AA72" s="126">
        <f>Z72*H72</f>
        <v>255.36</v>
      </c>
      <c r="AB72" s="127">
        <f>IF(I72=0,"",K72/I72)</f>
        <v>0</v>
      </c>
      <c r="AC72" s="51" t="b">
        <f>I72=(K72+AA72)</f>
        <v>1</v>
      </c>
      <c r="AD72" s="54">
        <f>I72-(K72+AA72)</f>
        <v>0</v>
      </c>
      <c r="AE72" s="51" t="b">
        <f>G72=(J72+Z72)</f>
        <v>1</v>
      </c>
      <c r="AF72" s="52">
        <f>G72-(J72+Z72)</f>
        <v>0</v>
      </c>
    </row>
    <row r="73" spans="2:32" s="53" customFormat="1" ht="39.950000000000003" customHeight="1" x14ac:dyDescent="0.25">
      <c r="B73" s="116" t="s">
        <v>66</v>
      </c>
      <c r="C73" s="198" t="s">
        <v>189</v>
      </c>
      <c r="D73" s="198" t="s">
        <v>211</v>
      </c>
      <c r="E73" s="128" t="s">
        <v>28</v>
      </c>
      <c r="F73" s="146" t="s">
        <v>6</v>
      </c>
      <c r="G73" s="119">
        <v>9000</v>
      </c>
      <c r="H73" s="112">
        <v>1.78</v>
      </c>
      <c r="I73" s="112">
        <f t="shared" si="106"/>
        <v>16020</v>
      </c>
      <c r="J73" s="121">
        <f t="shared" si="98"/>
        <v>0</v>
      </c>
      <c r="K73" s="122">
        <f t="shared" si="98"/>
        <v>0</v>
      </c>
      <c r="L73" s="123"/>
      <c r="M73" s="122">
        <f t="shared" si="99"/>
        <v>0</v>
      </c>
      <c r="N73" s="154"/>
      <c r="O73" s="110">
        <f t="shared" si="100"/>
        <v>0</v>
      </c>
      <c r="P73" s="251"/>
      <c r="Q73" s="252">
        <f t="shared" si="101"/>
        <v>0</v>
      </c>
      <c r="R73" s="124"/>
      <c r="S73" s="158">
        <f t="shared" si="102"/>
        <v>0</v>
      </c>
      <c r="T73" s="268"/>
      <c r="U73" s="258">
        <f t="shared" si="103"/>
        <v>0</v>
      </c>
      <c r="V73" s="268"/>
      <c r="W73" s="258">
        <f t="shared" si="104"/>
        <v>0</v>
      </c>
      <c r="X73" s="268"/>
      <c r="Y73" s="258">
        <f t="shared" si="105"/>
        <v>0</v>
      </c>
      <c r="Z73" s="125">
        <f>G73-J73</f>
        <v>9000</v>
      </c>
      <c r="AA73" s="126">
        <f>Z73*H73</f>
        <v>16020</v>
      </c>
      <c r="AB73" s="127">
        <f>IF(I73=0,"",K73/I73)</f>
        <v>0</v>
      </c>
      <c r="AC73" s="51" t="b">
        <f>I73=(K73+AA73)</f>
        <v>1</v>
      </c>
      <c r="AD73" s="54">
        <f>I73-(K73+AA73)</f>
        <v>0</v>
      </c>
      <c r="AE73" s="51" t="b">
        <f>G73=(J73+Z73)</f>
        <v>1</v>
      </c>
      <c r="AF73" s="52">
        <f>G73-(J73+Z73)</f>
        <v>0</v>
      </c>
    </row>
    <row r="74" spans="2:32" s="49" customFormat="1" ht="39.950000000000003" customHeight="1" x14ac:dyDescent="0.25">
      <c r="B74" s="295"/>
      <c r="C74" s="295"/>
      <c r="D74" s="295"/>
      <c r="E74" s="295" t="s">
        <v>26</v>
      </c>
      <c r="F74" s="295"/>
      <c r="G74" s="295"/>
      <c r="H74" s="160"/>
      <c r="I74" s="161">
        <f>SUM(I70:I73)</f>
        <v>21945.21</v>
      </c>
      <c r="J74" s="162"/>
      <c r="K74" s="270">
        <f>SUM(K70:K73)</f>
        <v>0</v>
      </c>
      <c r="L74" s="164"/>
      <c r="M74" s="163">
        <v>0</v>
      </c>
      <c r="N74" s="165"/>
      <c r="O74" s="130">
        <f>SUM(O70:O73)</f>
        <v>0</v>
      </c>
      <c r="P74" s="165"/>
      <c r="Q74" s="130">
        <f>SUM(Q70:Q73)</f>
        <v>0</v>
      </c>
      <c r="R74" s="165"/>
      <c r="S74" s="161">
        <v>0</v>
      </c>
      <c r="T74" s="261"/>
      <c r="U74" s="270">
        <f>SUM(U70:U73)</f>
        <v>0</v>
      </c>
      <c r="V74" s="261"/>
      <c r="W74" s="270">
        <f>SUM(W70:W73)</f>
        <v>0</v>
      </c>
      <c r="X74" s="261"/>
      <c r="Y74" s="270">
        <f>SUM(Y70:Y73)</f>
        <v>0</v>
      </c>
      <c r="Z74" s="217"/>
      <c r="AA74" s="167">
        <f>SUM(AA70:AA73)</f>
        <v>21945.21</v>
      </c>
      <c r="AB74" s="168"/>
      <c r="AC74" s="51"/>
      <c r="AD74" s="54"/>
      <c r="AE74" s="51"/>
      <c r="AF74" s="52"/>
    </row>
    <row r="75" spans="2:32" s="49" customFormat="1" ht="39.950000000000003" customHeight="1" x14ac:dyDescent="0.25">
      <c r="B75" s="115">
        <v>9</v>
      </c>
      <c r="C75" s="195"/>
      <c r="D75" s="195"/>
      <c r="E75" s="138" t="s">
        <v>161</v>
      </c>
      <c r="F75" s="139"/>
      <c r="G75" s="140"/>
      <c r="H75" s="141"/>
      <c r="I75" s="141"/>
      <c r="J75" s="140"/>
      <c r="K75" s="142"/>
      <c r="L75" s="143"/>
      <c r="M75" s="142"/>
      <c r="N75" s="239"/>
      <c r="O75" s="160"/>
      <c r="P75" s="139"/>
      <c r="Q75" s="141"/>
      <c r="R75" s="139"/>
      <c r="S75" s="141"/>
      <c r="T75" s="141"/>
      <c r="U75" s="141"/>
      <c r="V75" s="141"/>
      <c r="W75" s="141"/>
      <c r="X75" s="141"/>
      <c r="Y75" s="141"/>
      <c r="Z75" s="215"/>
      <c r="AA75" s="144"/>
      <c r="AB75" s="145"/>
      <c r="AC75" s="51"/>
      <c r="AD75" s="54"/>
      <c r="AE75" s="51"/>
      <c r="AF75" s="52"/>
    </row>
    <row r="76" spans="2:32" s="53" customFormat="1" ht="39.950000000000003" customHeight="1" x14ac:dyDescent="0.25">
      <c r="B76" s="118" t="s">
        <v>67</v>
      </c>
      <c r="C76" s="198" t="s">
        <v>184</v>
      </c>
      <c r="D76" s="198" t="s">
        <v>210</v>
      </c>
      <c r="E76" s="117" t="s">
        <v>143</v>
      </c>
      <c r="F76" s="146" t="s">
        <v>4</v>
      </c>
      <c r="G76" s="119">
        <v>9.6</v>
      </c>
      <c r="H76" s="112">
        <v>22.37</v>
      </c>
      <c r="I76" s="112">
        <f t="shared" si="106"/>
        <v>214.75</v>
      </c>
      <c r="J76" s="121">
        <f t="shared" ref="J76:K81" si="107">L76+N76+P76+R76+T76+V76+X76</f>
        <v>0</v>
      </c>
      <c r="K76" s="122">
        <f t="shared" si="107"/>
        <v>0</v>
      </c>
      <c r="L76" s="123"/>
      <c r="M76" s="122">
        <f t="shared" ref="M76:M81" si="108">L76*H76</f>
        <v>0</v>
      </c>
      <c r="N76" s="154"/>
      <c r="O76" s="110">
        <f t="shared" ref="O76:O81" si="109">N76*$H76</f>
        <v>0</v>
      </c>
      <c r="P76" s="251"/>
      <c r="Q76" s="252">
        <f t="shared" ref="Q76:Q81" si="110">P76*$H76</f>
        <v>0</v>
      </c>
      <c r="R76" s="124"/>
      <c r="S76" s="158">
        <f t="shared" ref="S76:S81" si="111">R76*$H76</f>
        <v>0</v>
      </c>
      <c r="T76" s="268"/>
      <c r="U76" s="258">
        <f t="shared" ref="U76:U81" si="112">T76*$H76</f>
        <v>0</v>
      </c>
      <c r="V76" s="268"/>
      <c r="W76" s="258">
        <f t="shared" ref="W76:W81" si="113">V76*$H76</f>
        <v>0</v>
      </c>
      <c r="X76" s="268"/>
      <c r="Y76" s="258">
        <f t="shared" ref="Y76:Y81" si="114">X76*$H76</f>
        <v>0</v>
      </c>
      <c r="Z76" s="125">
        <f t="shared" ref="Z76:Z81" si="115">G76-J76</f>
        <v>9.6</v>
      </c>
      <c r="AA76" s="126">
        <f t="shared" ref="AA76:AA81" si="116">Z76*H76</f>
        <v>214.75</v>
      </c>
      <c r="AB76" s="127">
        <f t="shared" ref="AB76:AB81" si="117">IF(I76=0,"",K76/I76)</f>
        <v>0</v>
      </c>
      <c r="AC76" s="51" t="b">
        <f t="shared" ref="AC76:AC81" si="118">I76=(K76+AA76)</f>
        <v>1</v>
      </c>
      <c r="AD76" s="54">
        <f t="shared" ref="AD76:AD81" si="119">I76-(K76+AA76)</f>
        <v>0</v>
      </c>
      <c r="AE76" s="51" t="b">
        <f t="shared" ref="AE76:AE81" si="120">G76=(J76+Z76)</f>
        <v>1</v>
      </c>
      <c r="AF76" s="52">
        <f>G76-(J76+Z76)</f>
        <v>0</v>
      </c>
    </row>
    <row r="77" spans="2:32" s="53" customFormat="1" ht="39.950000000000003" customHeight="1" x14ac:dyDescent="0.25">
      <c r="B77" s="118" t="s">
        <v>68</v>
      </c>
      <c r="C77" s="198" t="s">
        <v>189</v>
      </c>
      <c r="D77" s="198" t="s">
        <v>211</v>
      </c>
      <c r="E77" s="128" t="s">
        <v>28</v>
      </c>
      <c r="F77" s="146" t="s">
        <v>6</v>
      </c>
      <c r="G77" s="119">
        <v>99.84</v>
      </c>
      <c r="H77" s="112">
        <v>1.78</v>
      </c>
      <c r="I77" s="112">
        <f t="shared" si="106"/>
        <v>177.72</v>
      </c>
      <c r="J77" s="121">
        <f t="shared" si="107"/>
        <v>0</v>
      </c>
      <c r="K77" s="122">
        <f t="shared" si="107"/>
        <v>0</v>
      </c>
      <c r="L77" s="123"/>
      <c r="M77" s="122">
        <f t="shared" si="108"/>
        <v>0</v>
      </c>
      <c r="N77" s="108"/>
      <c r="O77" s="110">
        <f t="shared" si="109"/>
        <v>0</v>
      </c>
      <c r="P77" s="253"/>
      <c r="Q77" s="252">
        <f t="shared" si="110"/>
        <v>0</v>
      </c>
      <c r="R77" s="148"/>
      <c r="S77" s="158">
        <f t="shared" si="111"/>
        <v>0</v>
      </c>
      <c r="T77" s="268"/>
      <c r="U77" s="258">
        <f t="shared" si="112"/>
        <v>0</v>
      </c>
      <c r="V77" s="268"/>
      <c r="W77" s="258">
        <f t="shared" si="113"/>
        <v>0</v>
      </c>
      <c r="X77" s="268"/>
      <c r="Y77" s="258">
        <f t="shared" si="114"/>
        <v>0</v>
      </c>
      <c r="Z77" s="125">
        <f t="shared" si="115"/>
        <v>99.84</v>
      </c>
      <c r="AA77" s="126">
        <f t="shared" si="116"/>
        <v>177.72</v>
      </c>
      <c r="AB77" s="127">
        <f t="shared" si="117"/>
        <v>0</v>
      </c>
      <c r="AC77" s="51" t="b">
        <f t="shared" si="118"/>
        <v>1</v>
      </c>
      <c r="AD77" s="54">
        <f t="shared" si="119"/>
        <v>0</v>
      </c>
      <c r="AE77" s="51" t="b">
        <f t="shared" si="120"/>
        <v>1</v>
      </c>
      <c r="AF77" s="52"/>
    </row>
    <row r="78" spans="2:32" s="53" customFormat="1" ht="39.950000000000003" customHeight="1" x14ac:dyDescent="0.25">
      <c r="B78" s="118" t="s">
        <v>69</v>
      </c>
      <c r="C78" s="198" t="s">
        <v>184</v>
      </c>
      <c r="D78" s="198" t="s">
        <v>212</v>
      </c>
      <c r="E78" s="128" t="s">
        <v>9</v>
      </c>
      <c r="F78" s="146" t="s">
        <v>3</v>
      </c>
      <c r="G78" s="119">
        <v>0.19</v>
      </c>
      <c r="H78" s="112">
        <v>204.12</v>
      </c>
      <c r="I78" s="112">
        <f t="shared" si="106"/>
        <v>38.78</v>
      </c>
      <c r="J78" s="121">
        <f t="shared" si="107"/>
        <v>0</v>
      </c>
      <c r="K78" s="122">
        <f t="shared" si="107"/>
        <v>0</v>
      </c>
      <c r="L78" s="123"/>
      <c r="M78" s="122">
        <f t="shared" si="108"/>
        <v>0</v>
      </c>
      <c r="N78" s="108"/>
      <c r="O78" s="110">
        <f t="shared" si="109"/>
        <v>0</v>
      </c>
      <c r="P78" s="253"/>
      <c r="Q78" s="252">
        <f t="shared" si="110"/>
        <v>0</v>
      </c>
      <c r="R78" s="148"/>
      <c r="S78" s="158">
        <f t="shared" si="111"/>
        <v>0</v>
      </c>
      <c r="T78" s="268"/>
      <c r="U78" s="258">
        <f t="shared" si="112"/>
        <v>0</v>
      </c>
      <c r="V78" s="268"/>
      <c r="W78" s="258">
        <f t="shared" si="113"/>
        <v>0</v>
      </c>
      <c r="X78" s="268"/>
      <c r="Y78" s="258">
        <f t="shared" si="114"/>
        <v>0</v>
      </c>
      <c r="Z78" s="125">
        <f t="shared" si="115"/>
        <v>0.19</v>
      </c>
      <c r="AA78" s="126">
        <f t="shared" si="116"/>
        <v>38.78</v>
      </c>
      <c r="AB78" s="127">
        <f t="shared" si="117"/>
        <v>0</v>
      </c>
      <c r="AC78" s="51" t="b">
        <f t="shared" si="118"/>
        <v>1</v>
      </c>
      <c r="AD78" s="54">
        <f t="shared" si="119"/>
        <v>0</v>
      </c>
      <c r="AE78" s="51" t="b">
        <f t="shared" si="120"/>
        <v>1</v>
      </c>
      <c r="AF78" s="52"/>
    </row>
    <row r="79" spans="2:32" s="53" customFormat="1" ht="39.950000000000003" customHeight="1" x14ac:dyDescent="0.25">
      <c r="B79" s="118" t="s">
        <v>70</v>
      </c>
      <c r="C79" s="198" t="s">
        <v>184</v>
      </c>
      <c r="D79" s="198" t="s">
        <v>213</v>
      </c>
      <c r="E79" s="128" t="s">
        <v>7</v>
      </c>
      <c r="F79" s="146" t="s">
        <v>5</v>
      </c>
      <c r="G79" s="119">
        <v>288</v>
      </c>
      <c r="H79" s="112">
        <v>12.22</v>
      </c>
      <c r="I79" s="112">
        <f t="shared" si="106"/>
        <v>3519.36</v>
      </c>
      <c r="J79" s="121">
        <f t="shared" si="107"/>
        <v>0</v>
      </c>
      <c r="K79" s="122">
        <f t="shared" si="107"/>
        <v>0</v>
      </c>
      <c r="L79" s="123"/>
      <c r="M79" s="122">
        <f t="shared" si="108"/>
        <v>0</v>
      </c>
      <c r="N79" s="108"/>
      <c r="O79" s="110">
        <f t="shared" si="109"/>
        <v>0</v>
      </c>
      <c r="P79" s="253"/>
      <c r="Q79" s="252">
        <f t="shared" si="110"/>
        <v>0</v>
      </c>
      <c r="R79" s="148"/>
      <c r="S79" s="158">
        <f t="shared" si="111"/>
        <v>0</v>
      </c>
      <c r="T79" s="268"/>
      <c r="U79" s="258">
        <f t="shared" si="112"/>
        <v>0</v>
      </c>
      <c r="V79" s="268"/>
      <c r="W79" s="258">
        <f t="shared" si="113"/>
        <v>0</v>
      </c>
      <c r="X79" s="268"/>
      <c r="Y79" s="258">
        <f t="shared" si="114"/>
        <v>0</v>
      </c>
      <c r="Z79" s="125">
        <f t="shared" si="115"/>
        <v>288</v>
      </c>
      <c r="AA79" s="126">
        <f t="shared" si="116"/>
        <v>3519.36</v>
      </c>
      <c r="AB79" s="127">
        <f t="shared" si="117"/>
        <v>0</v>
      </c>
      <c r="AC79" s="51" t="b">
        <f t="shared" si="118"/>
        <v>1</v>
      </c>
      <c r="AD79" s="54">
        <f t="shared" si="119"/>
        <v>0</v>
      </c>
      <c r="AE79" s="51" t="b">
        <f t="shared" si="120"/>
        <v>1</v>
      </c>
      <c r="AF79" s="52"/>
    </row>
    <row r="80" spans="2:32" s="53" customFormat="1" ht="39.950000000000003" customHeight="1" x14ac:dyDescent="0.25">
      <c r="B80" s="118" t="s">
        <v>163</v>
      </c>
      <c r="C80" s="198" t="s">
        <v>184</v>
      </c>
      <c r="D80" s="198" t="s">
        <v>214</v>
      </c>
      <c r="E80" s="128" t="s">
        <v>144</v>
      </c>
      <c r="F80" s="146" t="s">
        <v>3</v>
      </c>
      <c r="G80" s="119">
        <v>2.88</v>
      </c>
      <c r="H80" s="112">
        <v>502.31</v>
      </c>
      <c r="I80" s="112">
        <f t="shared" si="106"/>
        <v>1446.65</v>
      </c>
      <c r="J80" s="121">
        <f t="shared" si="107"/>
        <v>0</v>
      </c>
      <c r="K80" s="122">
        <f t="shared" si="107"/>
        <v>0</v>
      </c>
      <c r="L80" s="123"/>
      <c r="M80" s="122">
        <f t="shared" si="108"/>
        <v>0</v>
      </c>
      <c r="N80" s="108"/>
      <c r="O80" s="110">
        <f t="shared" si="109"/>
        <v>0</v>
      </c>
      <c r="P80" s="253"/>
      <c r="Q80" s="252">
        <f t="shared" si="110"/>
        <v>0</v>
      </c>
      <c r="R80" s="148"/>
      <c r="S80" s="158">
        <f t="shared" si="111"/>
        <v>0</v>
      </c>
      <c r="T80" s="268"/>
      <c r="U80" s="258">
        <f t="shared" si="112"/>
        <v>0</v>
      </c>
      <c r="V80" s="268"/>
      <c r="W80" s="258">
        <f t="shared" si="113"/>
        <v>0</v>
      </c>
      <c r="X80" s="268"/>
      <c r="Y80" s="258">
        <f t="shared" si="114"/>
        <v>0</v>
      </c>
      <c r="Z80" s="125">
        <f t="shared" si="115"/>
        <v>2.88</v>
      </c>
      <c r="AA80" s="126">
        <f t="shared" si="116"/>
        <v>1446.65</v>
      </c>
      <c r="AB80" s="127">
        <f t="shared" si="117"/>
        <v>0</v>
      </c>
      <c r="AC80" s="51" t="b">
        <f t="shared" si="118"/>
        <v>1</v>
      </c>
      <c r="AD80" s="54">
        <f t="shared" si="119"/>
        <v>0</v>
      </c>
      <c r="AE80" s="51" t="b">
        <f t="shared" si="120"/>
        <v>1</v>
      </c>
      <c r="AF80" s="52"/>
    </row>
    <row r="81" spans="2:32" s="53" customFormat="1" ht="39.950000000000003" customHeight="1" x14ac:dyDescent="0.25">
      <c r="B81" s="118" t="s">
        <v>164</v>
      </c>
      <c r="C81" s="198" t="s">
        <v>189</v>
      </c>
      <c r="D81" s="198" t="s">
        <v>215</v>
      </c>
      <c r="E81" s="128" t="s">
        <v>145</v>
      </c>
      <c r="F81" s="146" t="s">
        <v>4</v>
      </c>
      <c r="G81" s="119">
        <v>0.96</v>
      </c>
      <c r="H81" s="112">
        <v>105.65</v>
      </c>
      <c r="I81" s="112">
        <f t="shared" si="106"/>
        <v>101.42</v>
      </c>
      <c r="J81" s="121">
        <f t="shared" si="107"/>
        <v>0</v>
      </c>
      <c r="K81" s="122">
        <f t="shared" si="107"/>
        <v>0</v>
      </c>
      <c r="L81" s="123"/>
      <c r="M81" s="122">
        <f t="shared" si="108"/>
        <v>0</v>
      </c>
      <c r="N81" s="108"/>
      <c r="O81" s="110">
        <f t="shared" si="109"/>
        <v>0</v>
      </c>
      <c r="P81" s="253"/>
      <c r="Q81" s="252">
        <f t="shared" si="110"/>
        <v>0</v>
      </c>
      <c r="R81" s="148"/>
      <c r="S81" s="158">
        <f t="shared" si="111"/>
        <v>0</v>
      </c>
      <c r="T81" s="268"/>
      <c r="U81" s="258">
        <f t="shared" si="112"/>
        <v>0</v>
      </c>
      <c r="V81" s="268"/>
      <c r="W81" s="258">
        <f t="shared" si="113"/>
        <v>0</v>
      </c>
      <c r="X81" s="268"/>
      <c r="Y81" s="258">
        <f t="shared" si="114"/>
        <v>0</v>
      </c>
      <c r="Z81" s="125">
        <f t="shared" si="115"/>
        <v>0.96</v>
      </c>
      <c r="AA81" s="126">
        <f t="shared" si="116"/>
        <v>101.42</v>
      </c>
      <c r="AB81" s="127">
        <f t="shared" si="117"/>
        <v>0</v>
      </c>
      <c r="AC81" s="51" t="b">
        <f t="shared" si="118"/>
        <v>1</v>
      </c>
      <c r="AD81" s="54">
        <f t="shared" si="119"/>
        <v>0</v>
      </c>
      <c r="AE81" s="51" t="b">
        <f t="shared" si="120"/>
        <v>1</v>
      </c>
      <c r="AF81" s="52"/>
    </row>
    <row r="82" spans="2:32" s="49" customFormat="1" ht="39.950000000000003" customHeight="1" x14ac:dyDescent="0.25">
      <c r="B82" s="295" t="s">
        <v>165</v>
      </c>
      <c r="C82" s="295"/>
      <c r="D82" s="295"/>
      <c r="E82" s="295" t="s">
        <v>25</v>
      </c>
      <c r="F82" s="295"/>
      <c r="G82" s="295"/>
      <c r="H82" s="295"/>
      <c r="I82" s="161">
        <f>SUM(I76:I81)</f>
        <v>5498.68</v>
      </c>
      <c r="J82" s="162"/>
      <c r="K82" s="270">
        <f>SUM(K76:K81)</f>
        <v>0</v>
      </c>
      <c r="L82" s="164"/>
      <c r="M82" s="163">
        <v>0</v>
      </c>
      <c r="N82" s="165"/>
      <c r="O82" s="161">
        <v>0</v>
      </c>
      <c r="P82" s="165"/>
      <c r="Q82" s="130">
        <f>SUM(Q76:S81)</f>
        <v>0</v>
      </c>
      <c r="R82" s="165"/>
      <c r="S82" s="161">
        <v>0</v>
      </c>
      <c r="T82" s="261"/>
      <c r="U82" s="270">
        <f>SUM(U76:U81)</f>
        <v>0</v>
      </c>
      <c r="V82" s="261"/>
      <c r="W82" s="270">
        <f>SUM(W76:W81)</f>
        <v>0</v>
      </c>
      <c r="X82" s="261"/>
      <c r="Y82" s="270">
        <f>SUM(Y76:Y81)</f>
        <v>0</v>
      </c>
      <c r="Z82" s="217"/>
      <c r="AA82" s="167">
        <f>SUM(AA76:AA81)</f>
        <v>5498.68</v>
      </c>
      <c r="AB82" s="168"/>
      <c r="AC82" s="51"/>
      <c r="AD82" s="54"/>
      <c r="AE82" s="51"/>
      <c r="AF82" s="52"/>
    </row>
    <row r="83" spans="2:32" s="49" customFormat="1" ht="39.950000000000003" customHeight="1" x14ac:dyDescent="0.25">
      <c r="B83" s="115">
        <v>10</v>
      </c>
      <c r="C83" s="195"/>
      <c r="D83" s="195"/>
      <c r="E83" s="138" t="s">
        <v>166</v>
      </c>
      <c r="F83" s="139"/>
      <c r="G83" s="140"/>
      <c r="H83" s="141"/>
      <c r="I83" s="141"/>
      <c r="J83" s="140"/>
      <c r="K83" s="142"/>
      <c r="L83" s="143"/>
      <c r="M83" s="142"/>
      <c r="N83" s="239"/>
      <c r="O83" s="160"/>
      <c r="P83" s="139"/>
      <c r="Q83" s="141"/>
      <c r="R83" s="139"/>
      <c r="S83" s="141"/>
      <c r="T83" s="141"/>
      <c r="U83" s="141"/>
      <c r="V83" s="141"/>
      <c r="W83" s="141"/>
      <c r="X83" s="141"/>
      <c r="Y83" s="141"/>
      <c r="Z83" s="215"/>
      <c r="AA83" s="144"/>
      <c r="AB83" s="145"/>
      <c r="AC83" s="51"/>
      <c r="AD83" s="54"/>
      <c r="AE83" s="51"/>
      <c r="AF83" s="52"/>
    </row>
    <row r="84" spans="2:32" s="53" customFormat="1" ht="39.950000000000003" customHeight="1" x14ac:dyDescent="0.25">
      <c r="B84" s="118" t="s">
        <v>71</v>
      </c>
      <c r="C84" s="198" t="s">
        <v>206</v>
      </c>
      <c r="D84" s="198" t="s">
        <v>216</v>
      </c>
      <c r="E84" s="117" t="s">
        <v>167</v>
      </c>
      <c r="F84" s="118" t="s">
        <v>21</v>
      </c>
      <c r="G84" s="119">
        <v>60</v>
      </c>
      <c r="H84" s="112">
        <v>565.23</v>
      </c>
      <c r="I84" s="112">
        <f t="shared" si="106"/>
        <v>33913.800000000003</v>
      </c>
      <c r="J84" s="121">
        <f t="shared" ref="J84:K92" si="121">L84+N84+P84+R84+T84+V84+X84</f>
        <v>0</v>
      </c>
      <c r="K84" s="122">
        <f t="shared" si="121"/>
        <v>0</v>
      </c>
      <c r="L84" s="123"/>
      <c r="M84" s="122">
        <f t="shared" ref="M84:M87" si="122">L84*H84</f>
        <v>0</v>
      </c>
      <c r="N84" s="154"/>
      <c r="O84" s="110">
        <f t="shared" ref="O84:O87" si="123">N84*$H84</f>
        <v>0</v>
      </c>
      <c r="P84" s="251"/>
      <c r="Q84" s="252">
        <f t="shared" ref="Q84:Q87" si="124">P84*$H84</f>
        <v>0</v>
      </c>
      <c r="R84" s="124"/>
      <c r="S84" s="158">
        <f t="shared" ref="S84:S87" si="125">R84*$H84</f>
        <v>0</v>
      </c>
      <c r="T84" s="268"/>
      <c r="U84" s="258">
        <f t="shared" ref="U84:U92" si="126">T84*$H84</f>
        <v>0</v>
      </c>
      <c r="V84" s="268"/>
      <c r="W84" s="258">
        <f t="shared" ref="W84:W92" si="127">V84*$H84</f>
        <v>0</v>
      </c>
      <c r="X84" s="268"/>
      <c r="Y84" s="258">
        <f t="shared" ref="Y84:Y92" si="128">X84*$H84</f>
        <v>0</v>
      </c>
      <c r="Z84" s="125">
        <f t="shared" ref="Z84:Z92" si="129">G84-J84</f>
        <v>60</v>
      </c>
      <c r="AA84" s="126">
        <f t="shared" ref="AA84:AA92" si="130">Z84*H84</f>
        <v>33913.800000000003</v>
      </c>
      <c r="AB84" s="127">
        <f t="shared" ref="AB84:AB93" si="131">IF(I84=0,"",K84/I84)</f>
        <v>0</v>
      </c>
      <c r="AC84" s="51" t="b">
        <f t="shared" ref="AC84:AC92" si="132">I84=(K84+AA84)</f>
        <v>1</v>
      </c>
      <c r="AD84" s="54">
        <f t="shared" ref="AD84:AD92" si="133">I84-(K84+AA84)</f>
        <v>0</v>
      </c>
      <c r="AE84" s="51" t="b">
        <f t="shared" ref="AE84:AE92" si="134">G84=(J84+Z84)</f>
        <v>1</v>
      </c>
      <c r="AF84" s="52">
        <f>G84-(J84+Z84)</f>
        <v>0</v>
      </c>
    </row>
    <row r="85" spans="2:32" s="53" customFormat="1" ht="39.950000000000003" customHeight="1" x14ac:dyDescent="0.25">
      <c r="B85" s="118" t="s">
        <v>72</v>
      </c>
      <c r="C85" s="198" t="s">
        <v>206</v>
      </c>
      <c r="D85" s="198" t="s">
        <v>218</v>
      </c>
      <c r="E85" s="117" t="s">
        <v>168</v>
      </c>
      <c r="F85" s="118" t="s">
        <v>21</v>
      </c>
      <c r="G85" s="119">
        <v>360</v>
      </c>
      <c r="H85" s="112">
        <v>3.28</v>
      </c>
      <c r="I85" s="112">
        <f t="shared" ref="I85:I86" si="135">G85*H85</f>
        <v>1180.8</v>
      </c>
      <c r="J85" s="121">
        <f t="shared" si="121"/>
        <v>0</v>
      </c>
      <c r="K85" s="122">
        <f t="shared" si="121"/>
        <v>0</v>
      </c>
      <c r="L85" s="123"/>
      <c r="M85" s="122">
        <f t="shared" si="122"/>
        <v>0</v>
      </c>
      <c r="N85" s="154"/>
      <c r="O85" s="110">
        <f t="shared" si="123"/>
        <v>0</v>
      </c>
      <c r="P85" s="251"/>
      <c r="Q85" s="252">
        <f t="shared" si="124"/>
        <v>0</v>
      </c>
      <c r="R85" s="124">
        <v>0</v>
      </c>
      <c r="S85" s="158">
        <f t="shared" si="125"/>
        <v>0</v>
      </c>
      <c r="T85" s="268"/>
      <c r="U85" s="258">
        <f t="shared" si="126"/>
        <v>0</v>
      </c>
      <c r="V85" s="268"/>
      <c r="W85" s="258">
        <f t="shared" si="127"/>
        <v>0</v>
      </c>
      <c r="X85" s="268"/>
      <c r="Y85" s="258">
        <f t="shared" si="128"/>
        <v>0</v>
      </c>
      <c r="Z85" s="125">
        <f t="shared" si="129"/>
        <v>360</v>
      </c>
      <c r="AA85" s="126">
        <f t="shared" si="130"/>
        <v>1180.8</v>
      </c>
      <c r="AB85" s="127">
        <f t="shared" si="131"/>
        <v>0</v>
      </c>
      <c r="AC85" s="51" t="b">
        <f t="shared" si="132"/>
        <v>1</v>
      </c>
      <c r="AD85" s="54">
        <f t="shared" si="133"/>
        <v>0</v>
      </c>
      <c r="AE85" s="51" t="b">
        <f t="shared" si="134"/>
        <v>1</v>
      </c>
      <c r="AF85" s="52">
        <f>G85-(J85+Z85)</f>
        <v>0</v>
      </c>
    </row>
    <row r="86" spans="2:32" s="53" customFormat="1" ht="39.950000000000003" customHeight="1" x14ac:dyDescent="0.25">
      <c r="B86" s="118" t="s">
        <v>73</v>
      </c>
      <c r="C86" s="198" t="s">
        <v>185</v>
      </c>
      <c r="D86" s="198" t="s">
        <v>229</v>
      </c>
      <c r="E86" s="128" t="s">
        <v>169</v>
      </c>
      <c r="F86" s="118" t="s">
        <v>21</v>
      </c>
      <c r="G86" s="119">
        <v>60</v>
      </c>
      <c r="H86" s="112">
        <v>95.47</v>
      </c>
      <c r="I86" s="112">
        <f t="shared" si="135"/>
        <v>5728.2</v>
      </c>
      <c r="J86" s="121">
        <f t="shared" si="121"/>
        <v>0</v>
      </c>
      <c r="K86" s="122">
        <f t="shared" si="121"/>
        <v>0</v>
      </c>
      <c r="L86" s="123"/>
      <c r="M86" s="122">
        <f t="shared" si="122"/>
        <v>0</v>
      </c>
      <c r="N86" s="154"/>
      <c r="O86" s="110">
        <f t="shared" si="123"/>
        <v>0</v>
      </c>
      <c r="P86" s="251"/>
      <c r="Q86" s="252">
        <f t="shared" si="124"/>
        <v>0</v>
      </c>
      <c r="R86" s="124">
        <v>0</v>
      </c>
      <c r="S86" s="158">
        <f t="shared" si="125"/>
        <v>0</v>
      </c>
      <c r="T86" s="268"/>
      <c r="U86" s="258">
        <f t="shared" si="126"/>
        <v>0</v>
      </c>
      <c r="V86" s="268"/>
      <c r="W86" s="258">
        <f t="shared" si="127"/>
        <v>0</v>
      </c>
      <c r="X86" s="268"/>
      <c r="Y86" s="258">
        <f t="shared" si="128"/>
        <v>0</v>
      </c>
      <c r="Z86" s="125">
        <f t="shared" si="129"/>
        <v>60</v>
      </c>
      <c r="AA86" s="126">
        <f t="shared" si="130"/>
        <v>5728.2</v>
      </c>
      <c r="AB86" s="127">
        <f t="shared" si="131"/>
        <v>0</v>
      </c>
      <c r="AC86" s="51" t="b">
        <f t="shared" si="132"/>
        <v>1</v>
      </c>
      <c r="AD86" s="54">
        <f t="shared" si="133"/>
        <v>0</v>
      </c>
      <c r="AE86" s="51" t="b">
        <f t="shared" si="134"/>
        <v>1</v>
      </c>
      <c r="AF86" s="52">
        <f>G86-(J86+Z86)</f>
        <v>0</v>
      </c>
    </row>
    <row r="87" spans="2:32" s="53" customFormat="1" ht="39.950000000000003" customHeight="1" x14ac:dyDescent="0.25">
      <c r="B87" s="118" t="s">
        <v>74</v>
      </c>
      <c r="C87" s="198" t="s">
        <v>206</v>
      </c>
      <c r="D87" s="198" t="s">
        <v>219</v>
      </c>
      <c r="E87" s="117" t="s">
        <v>170</v>
      </c>
      <c r="F87" s="118" t="s">
        <v>21</v>
      </c>
      <c r="G87" s="119">
        <v>60</v>
      </c>
      <c r="H87" s="112">
        <v>43.83</v>
      </c>
      <c r="I87" s="112">
        <f t="shared" si="106"/>
        <v>2629.8</v>
      </c>
      <c r="J87" s="121">
        <f t="shared" si="121"/>
        <v>0</v>
      </c>
      <c r="K87" s="122">
        <f t="shared" si="121"/>
        <v>0</v>
      </c>
      <c r="L87" s="123"/>
      <c r="M87" s="122">
        <f t="shared" si="122"/>
        <v>0</v>
      </c>
      <c r="N87" s="154"/>
      <c r="O87" s="110">
        <f t="shared" si="123"/>
        <v>0</v>
      </c>
      <c r="P87" s="251"/>
      <c r="Q87" s="252">
        <f t="shared" si="124"/>
        <v>0</v>
      </c>
      <c r="R87" s="124">
        <v>0</v>
      </c>
      <c r="S87" s="158">
        <f t="shared" si="125"/>
        <v>0</v>
      </c>
      <c r="T87" s="268"/>
      <c r="U87" s="258">
        <f t="shared" si="126"/>
        <v>0</v>
      </c>
      <c r="V87" s="268"/>
      <c r="W87" s="258">
        <f t="shared" si="127"/>
        <v>0</v>
      </c>
      <c r="X87" s="268"/>
      <c r="Y87" s="258">
        <f t="shared" si="128"/>
        <v>0</v>
      </c>
      <c r="Z87" s="125">
        <f t="shared" si="129"/>
        <v>60</v>
      </c>
      <c r="AA87" s="126">
        <f t="shared" si="130"/>
        <v>2629.8</v>
      </c>
      <c r="AB87" s="127">
        <f t="shared" si="131"/>
        <v>0</v>
      </c>
      <c r="AC87" s="51" t="b">
        <f t="shared" si="132"/>
        <v>1</v>
      </c>
      <c r="AD87" s="54">
        <f t="shared" si="133"/>
        <v>0</v>
      </c>
      <c r="AE87" s="51" t="b">
        <f t="shared" si="134"/>
        <v>1</v>
      </c>
      <c r="AF87" s="52">
        <f>G87-(J87+Z87)</f>
        <v>0</v>
      </c>
    </row>
    <row r="88" spans="2:32" s="53" customFormat="1" ht="39.950000000000003" customHeight="1" x14ac:dyDescent="0.25">
      <c r="B88" s="118" t="s">
        <v>75</v>
      </c>
      <c r="C88" s="198" t="s">
        <v>185</v>
      </c>
      <c r="D88" s="198" t="s">
        <v>230</v>
      </c>
      <c r="E88" s="117" t="s">
        <v>175</v>
      </c>
      <c r="F88" s="146" t="s">
        <v>21</v>
      </c>
      <c r="G88" s="119">
        <v>1</v>
      </c>
      <c r="H88" s="170">
        <v>16469.88</v>
      </c>
      <c r="I88" s="112">
        <f t="shared" si="106"/>
        <v>16469.88</v>
      </c>
      <c r="J88" s="121">
        <f t="shared" si="121"/>
        <v>0</v>
      </c>
      <c r="K88" s="122">
        <f t="shared" si="121"/>
        <v>0</v>
      </c>
      <c r="L88" s="123"/>
      <c r="M88" s="122">
        <v>0</v>
      </c>
      <c r="N88" s="108"/>
      <c r="O88" s="110">
        <v>0</v>
      </c>
      <c r="P88" s="253"/>
      <c r="Q88" s="252">
        <v>0</v>
      </c>
      <c r="R88" s="148"/>
      <c r="S88" s="158">
        <v>0</v>
      </c>
      <c r="T88" s="268"/>
      <c r="U88" s="258">
        <f t="shared" si="126"/>
        <v>0</v>
      </c>
      <c r="V88" s="268"/>
      <c r="W88" s="258">
        <f t="shared" si="127"/>
        <v>0</v>
      </c>
      <c r="X88" s="268"/>
      <c r="Y88" s="258">
        <f t="shared" si="128"/>
        <v>0</v>
      </c>
      <c r="Z88" s="125">
        <f t="shared" si="129"/>
        <v>1</v>
      </c>
      <c r="AA88" s="126">
        <f t="shared" si="130"/>
        <v>16469.88</v>
      </c>
      <c r="AB88" s="127">
        <f t="shared" si="131"/>
        <v>0</v>
      </c>
      <c r="AC88" s="51" t="b">
        <f t="shared" si="132"/>
        <v>1</v>
      </c>
      <c r="AD88" s="54">
        <f t="shared" si="133"/>
        <v>0</v>
      </c>
      <c r="AE88" s="51" t="b">
        <f t="shared" si="134"/>
        <v>1</v>
      </c>
      <c r="AF88" s="52"/>
    </row>
    <row r="89" spans="2:32" s="53" customFormat="1" ht="39.950000000000003" customHeight="1" x14ac:dyDescent="0.25">
      <c r="B89" s="118" t="s">
        <v>76</v>
      </c>
      <c r="C89" s="198" t="s">
        <v>185</v>
      </c>
      <c r="D89" s="198" t="s">
        <v>231</v>
      </c>
      <c r="E89" s="128" t="s">
        <v>30</v>
      </c>
      <c r="F89" s="146" t="s">
        <v>21</v>
      </c>
      <c r="G89" s="119">
        <v>1</v>
      </c>
      <c r="H89" s="170">
        <v>298.58999999999997</v>
      </c>
      <c r="I89" s="112">
        <f t="shared" si="106"/>
        <v>298.58999999999997</v>
      </c>
      <c r="J89" s="121">
        <f t="shared" si="121"/>
        <v>0</v>
      </c>
      <c r="K89" s="122">
        <f t="shared" si="121"/>
        <v>0</v>
      </c>
      <c r="L89" s="123"/>
      <c r="M89" s="122">
        <v>0</v>
      </c>
      <c r="N89" s="108"/>
      <c r="O89" s="110">
        <v>0</v>
      </c>
      <c r="P89" s="253"/>
      <c r="Q89" s="252">
        <v>0</v>
      </c>
      <c r="R89" s="148"/>
      <c r="S89" s="158">
        <v>0</v>
      </c>
      <c r="T89" s="268"/>
      <c r="U89" s="258">
        <f t="shared" si="126"/>
        <v>0</v>
      </c>
      <c r="V89" s="268"/>
      <c r="W89" s="258">
        <f t="shared" si="127"/>
        <v>0</v>
      </c>
      <c r="X89" s="268"/>
      <c r="Y89" s="258">
        <f t="shared" si="128"/>
        <v>0</v>
      </c>
      <c r="Z89" s="125">
        <f t="shared" si="129"/>
        <v>1</v>
      </c>
      <c r="AA89" s="126">
        <f t="shared" si="130"/>
        <v>298.58999999999997</v>
      </c>
      <c r="AB89" s="127">
        <f t="shared" si="131"/>
        <v>0</v>
      </c>
      <c r="AC89" s="51" t="b">
        <f t="shared" si="132"/>
        <v>1</v>
      </c>
      <c r="AD89" s="54">
        <f t="shared" si="133"/>
        <v>0</v>
      </c>
      <c r="AE89" s="51" t="b">
        <f t="shared" si="134"/>
        <v>1</v>
      </c>
      <c r="AF89" s="52"/>
    </row>
    <row r="90" spans="2:32" s="53" customFormat="1" ht="39.950000000000003" customHeight="1" x14ac:dyDescent="0.25">
      <c r="B90" s="118" t="s">
        <v>172</v>
      </c>
      <c r="C90" s="198" t="s">
        <v>185</v>
      </c>
      <c r="D90" s="198" t="s">
        <v>232</v>
      </c>
      <c r="E90" s="128" t="s">
        <v>176</v>
      </c>
      <c r="F90" s="146" t="s">
        <v>1</v>
      </c>
      <c r="G90" s="119">
        <v>2106</v>
      </c>
      <c r="H90" s="170">
        <v>16.63</v>
      </c>
      <c r="I90" s="112">
        <f t="shared" si="106"/>
        <v>35022.78</v>
      </c>
      <c r="J90" s="121">
        <f t="shared" si="121"/>
        <v>0</v>
      </c>
      <c r="K90" s="122">
        <f t="shared" si="121"/>
        <v>0</v>
      </c>
      <c r="L90" s="123"/>
      <c r="M90" s="122">
        <v>0</v>
      </c>
      <c r="N90" s="108"/>
      <c r="O90" s="110">
        <v>0</v>
      </c>
      <c r="P90" s="253"/>
      <c r="Q90" s="252">
        <v>0</v>
      </c>
      <c r="R90" s="148"/>
      <c r="S90" s="158">
        <v>0</v>
      </c>
      <c r="T90" s="268"/>
      <c r="U90" s="258">
        <f t="shared" si="126"/>
        <v>0</v>
      </c>
      <c r="V90" s="268"/>
      <c r="W90" s="258">
        <f t="shared" si="127"/>
        <v>0</v>
      </c>
      <c r="X90" s="268"/>
      <c r="Y90" s="258">
        <f t="shared" si="128"/>
        <v>0</v>
      </c>
      <c r="Z90" s="125">
        <f t="shared" si="129"/>
        <v>2106</v>
      </c>
      <c r="AA90" s="126">
        <f t="shared" si="130"/>
        <v>35022.78</v>
      </c>
      <c r="AB90" s="127">
        <f t="shared" si="131"/>
        <v>0</v>
      </c>
      <c r="AC90" s="51" t="b">
        <f t="shared" si="132"/>
        <v>1</v>
      </c>
      <c r="AD90" s="54">
        <f t="shared" si="133"/>
        <v>0</v>
      </c>
      <c r="AE90" s="51" t="b">
        <f t="shared" si="134"/>
        <v>1</v>
      </c>
      <c r="AF90" s="52"/>
    </row>
    <row r="91" spans="2:32" s="53" customFormat="1" ht="39.950000000000003" customHeight="1" x14ac:dyDescent="0.25">
      <c r="B91" s="118" t="s">
        <v>173</v>
      </c>
      <c r="C91" s="198" t="s">
        <v>185</v>
      </c>
      <c r="D91" s="198" t="s">
        <v>233</v>
      </c>
      <c r="E91" s="128" t="s">
        <v>31</v>
      </c>
      <c r="F91" s="146" t="s">
        <v>21</v>
      </c>
      <c r="G91" s="119">
        <v>240</v>
      </c>
      <c r="H91" s="170">
        <v>47.27</v>
      </c>
      <c r="I91" s="112">
        <f t="shared" si="106"/>
        <v>11344.8</v>
      </c>
      <c r="J91" s="121">
        <f t="shared" si="121"/>
        <v>0</v>
      </c>
      <c r="K91" s="122">
        <f t="shared" si="121"/>
        <v>0</v>
      </c>
      <c r="L91" s="123"/>
      <c r="M91" s="122">
        <v>0</v>
      </c>
      <c r="N91" s="108"/>
      <c r="O91" s="110">
        <v>0</v>
      </c>
      <c r="P91" s="253"/>
      <c r="Q91" s="252">
        <v>0</v>
      </c>
      <c r="R91" s="148"/>
      <c r="S91" s="158">
        <v>0</v>
      </c>
      <c r="T91" s="268"/>
      <c r="U91" s="258">
        <f t="shared" si="126"/>
        <v>0</v>
      </c>
      <c r="V91" s="268"/>
      <c r="W91" s="258">
        <f t="shared" si="127"/>
        <v>0</v>
      </c>
      <c r="X91" s="268"/>
      <c r="Y91" s="258">
        <f t="shared" si="128"/>
        <v>0</v>
      </c>
      <c r="Z91" s="125">
        <f t="shared" si="129"/>
        <v>240</v>
      </c>
      <c r="AA91" s="126">
        <f t="shared" si="130"/>
        <v>11344.8</v>
      </c>
      <c r="AB91" s="127">
        <f t="shared" si="131"/>
        <v>0</v>
      </c>
      <c r="AC91" s="51" t="b">
        <f t="shared" si="132"/>
        <v>1</v>
      </c>
      <c r="AD91" s="54">
        <f t="shared" si="133"/>
        <v>0</v>
      </c>
      <c r="AE91" s="51" t="b">
        <f t="shared" si="134"/>
        <v>1</v>
      </c>
      <c r="AF91" s="52"/>
    </row>
    <row r="92" spans="2:32" s="53" customFormat="1" ht="39.950000000000003" customHeight="1" x14ac:dyDescent="0.25">
      <c r="B92" s="118" t="s">
        <v>174</v>
      </c>
      <c r="C92" s="198" t="s">
        <v>185</v>
      </c>
      <c r="D92" s="198" t="s">
        <v>234</v>
      </c>
      <c r="E92" s="128" t="s">
        <v>32</v>
      </c>
      <c r="F92" s="146" t="s">
        <v>21</v>
      </c>
      <c r="G92" s="119">
        <v>60</v>
      </c>
      <c r="H92" s="170">
        <v>94.61</v>
      </c>
      <c r="I92" s="112">
        <f t="shared" si="106"/>
        <v>5676.6</v>
      </c>
      <c r="J92" s="121">
        <f t="shared" si="121"/>
        <v>0</v>
      </c>
      <c r="K92" s="122">
        <f t="shared" si="121"/>
        <v>0</v>
      </c>
      <c r="L92" s="123"/>
      <c r="M92" s="122">
        <v>0</v>
      </c>
      <c r="N92" s="108"/>
      <c r="O92" s="110">
        <v>0</v>
      </c>
      <c r="P92" s="253"/>
      <c r="Q92" s="252">
        <v>0</v>
      </c>
      <c r="R92" s="148"/>
      <c r="S92" s="158">
        <v>0</v>
      </c>
      <c r="T92" s="268"/>
      <c r="U92" s="258">
        <f t="shared" si="126"/>
        <v>0</v>
      </c>
      <c r="V92" s="268"/>
      <c r="W92" s="258">
        <f t="shared" si="127"/>
        <v>0</v>
      </c>
      <c r="X92" s="268"/>
      <c r="Y92" s="258">
        <f t="shared" si="128"/>
        <v>0</v>
      </c>
      <c r="Z92" s="125">
        <f t="shared" si="129"/>
        <v>60</v>
      </c>
      <c r="AA92" s="126">
        <f t="shared" si="130"/>
        <v>5676.6</v>
      </c>
      <c r="AB92" s="127">
        <f t="shared" si="131"/>
        <v>0</v>
      </c>
      <c r="AC92" s="51" t="b">
        <f t="shared" si="132"/>
        <v>1</v>
      </c>
      <c r="AD92" s="54">
        <f t="shared" si="133"/>
        <v>0</v>
      </c>
      <c r="AE92" s="51" t="b">
        <f t="shared" si="134"/>
        <v>1</v>
      </c>
      <c r="AF92" s="52"/>
    </row>
    <row r="93" spans="2:32" s="49" customFormat="1" ht="39.950000000000003" customHeight="1" x14ac:dyDescent="0.25">
      <c r="B93" s="295" t="s">
        <v>237</v>
      </c>
      <c r="C93" s="295"/>
      <c r="D93" s="295"/>
      <c r="E93" s="295"/>
      <c r="F93" s="295"/>
      <c r="G93" s="295"/>
      <c r="H93" s="300"/>
      <c r="I93" s="130">
        <f>SUM(I92+I91+I90+I89+I88+I87+I86+I85+I84)</f>
        <v>112265.25</v>
      </c>
      <c r="J93" s="131"/>
      <c r="K93" s="259">
        <f>SUM(K84:K92)</f>
        <v>0</v>
      </c>
      <c r="L93" s="133"/>
      <c r="M93" s="132">
        <f>SUM(M60:S92)</f>
        <v>0</v>
      </c>
      <c r="N93" s="134"/>
      <c r="O93" s="130">
        <f>SUM(O84:O92)</f>
        <v>0</v>
      </c>
      <c r="P93" s="134"/>
      <c r="Q93" s="130">
        <f>SUM(Q84:S92)</f>
        <v>0</v>
      </c>
      <c r="R93" s="134"/>
      <c r="S93" s="130">
        <f>SUM(S60:S87)</f>
        <v>0</v>
      </c>
      <c r="T93" s="259"/>
      <c r="U93" s="259">
        <f>SUM(U84:U92)</f>
        <v>0</v>
      </c>
      <c r="V93" s="259"/>
      <c r="W93" s="259">
        <f>SUM(W60:W87)</f>
        <v>0</v>
      </c>
      <c r="X93" s="259"/>
      <c r="Y93" s="259">
        <f>SUM(Y60:Y87)</f>
        <v>0</v>
      </c>
      <c r="Z93" s="135"/>
      <c r="AA93" s="202">
        <f>AA92+AA91+AA90+AA89+AA88+AA87+AA86+AA85+AA84</f>
        <v>112265.25</v>
      </c>
      <c r="AB93" s="137">
        <f t="shared" si="131"/>
        <v>0</v>
      </c>
      <c r="AC93" s="51"/>
      <c r="AD93" s="54"/>
      <c r="AE93" s="51"/>
      <c r="AF93" s="52"/>
    </row>
    <row r="94" spans="2:32" s="49" customFormat="1" ht="39.950000000000003" customHeight="1" x14ac:dyDescent="0.25"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4"/>
      <c r="AC94" s="51"/>
      <c r="AD94" s="54"/>
      <c r="AE94" s="51"/>
      <c r="AF94" s="52"/>
    </row>
    <row r="95" spans="2:32" s="49" customFormat="1" ht="39.950000000000003" customHeight="1" x14ac:dyDescent="0.25">
      <c r="B95" s="115">
        <v>11</v>
      </c>
      <c r="C95" s="195"/>
      <c r="D95" s="195"/>
      <c r="E95" s="138" t="s">
        <v>177</v>
      </c>
      <c r="F95" s="139"/>
      <c r="G95" s="140"/>
      <c r="H95" s="141"/>
      <c r="I95" s="141"/>
      <c r="J95" s="140"/>
      <c r="K95" s="142"/>
      <c r="L95" s="143"/>
      <c r="M95" s="142"/>
      <c r="N95" s="139"/>
      <c r="O95" s="141"/>
      <c r="P95" s="139"/>
      <c r="Q95" s="141"/>
      <c r="R95" s="139"/>
      <c r="S95" s="141"/>
      <c r="T95" s="141"/>
      <c r="U95" s="141"/>
      <c r="V95" s="141"/>
      <c r="W95" s="141"/>
      <c r="X95" s="141"/>
      <c r="Y95" s="141"/>
      <c r="Z95" s="215"/>
      <c r="AA95" s="144"/>
      <c r="AB95" s="145"/>
      <c r="AC95" s="51"/>
      <c r="AD95" s="54"/>
      <c r="AE95" s="51"/>
      <c r="AF95" s="52"/>
    </row>
    <row r="96" spans="2:32" s="53" customFormat="1" ht="39.950000000000003" customHeight="1" x14ac:dyDescent="0.25">
      <c r="B96" s="116" t="s">
        <v>77</v>
      </c>
      <c r="C96" s="198" t="s">
        <v>189</v>
      </c>
      <c r="D96" s="198" t="s">
        <v>220</v>
      </c>
      <c r="E96" s="117" t="s">
        <v>27</v>
      </c>
      <c r="F96" s="171" t="s">
        <v>4</v>
      </c>
      <c r="G96" s="119">
        <v>25.43</v>
      </c>
      <c r="H96" s="112">
        <v>69.239999999999995</v>
      </c>
      <c r="I96" s="112">
        <f t="shared" ref="I96:I100" si="136">G96*H96</f>
        <v>1760.77</v>
      </c>
      <c r="J96" s="121">
        <f>L96+N96+P96+R96+T96+V96+X96</f>
        <v>0</v>
      </c>
      <c r="K96" s="122">
        <f>M96+O96+Q96+S96+U96+W96+Y96</f>
        <v>0</v>
      </c>
      <c r="L96" s="123"/>
      <c r="M96" s="122">
        <f t="shared" ref="M96" si="137">L96*H96</f>
        <v>0</v>
      </c>
      <c r="N96" s="154"/>
      <c r="O96" s="110">
        <f t="shared" ref="O96" si="138">N96*$H96</f>
        <v>0</v>
      </c>
      <c r="P96" s="251"/>
      <c r="Q96" s="252">
        <f t="shared" ref="Q96" si="139">P96*$H96</f>
        <v>0</v>
      </c>
      <c r="R96" s="124"/>
      <c r="S96" s="158">
        <f t="shared" ref="S96" si="140">R96*$H96</f>
        <v>0</v>
      </c>
      <c r="T96" s="268"/>
      <c r="U96" s="258">
        <f>T96*$H96</f>
        <v>0</v>
      </c>
      <c r="V96" s="268"/>
      <c r="W96" s="258">
        <f>V96*$H96</f>
        <v>0</v>
      </c>
      <c r="X96" s="268"/>
      <c r="Y96" s="258">
        <f>X96*$H96</f>
        <v>0</v>
      </c>
      <c r="Z96" s="125">
        <f>G96-J96</f>
        <v>25.43</v>
      </c>
      <c r="AA96" s="126">
        <f>Z96*H96</f>
        <v>1760.77</v>
      </c>
      <c r="AB96" s="127">
        <f>IF(I96=0,"",K96/I96)</f>
        <v>0</v>
      </c>
      <c r="AC96" s="51" t="b">
        <f>I96=(K96+AA96)</f>
        <v>1</v>
      </c>
      <c r="AD96" s="54">
        <f>I96-(K96+AA96)</f>
        <v>0</v>
      </c>
      <c r="AE96" s="51" t="b">
        <f>G96=(J96+Z96)</f>
        <v>1</v>
      </c>
      <c r="AF96" s="52">
        <f>G96-(J96+Z96)</f>
        <v>0</v>
      </c>
    </row>
    <row r="97" spans="2:33" s="49" customFormat="1" ht="39.950000000000003" customHeight="1" x14ac:dyDescent="0.25">
      <c r="B97" s="309" t="s">
        <v>178</v>
      </c>
      <c r="C97" s="309"/>
      <c r="D97" s="309"/>
      <c r="E97" s="309"/>
      <c r="F97" s="309"/>
      <c r="G97" s="309"/>
      <c r="H97" s="160"/>
      <c r="I97" s="161">
        <f>I96</f>
        <v>1760.77</v>
      </c>
      <c r="J97" s="162"/>
      <c r="K97" s="270">
        <f>K96</f>
        <v>0</v>
      </c>
      <c r="L97" s="164"/>
      <c r="M97" s="163">
        <v>0</v>
      </c>
      <c r="N97" s="165"/>
      <c r="O97" s="161">
        <v>0</v>
      </c>
      <c r="P97" s="165"/>
      <c r="Q97" s="161">
        <f>Q96</f>
        <v>0</v>
      </c>
      <c r="R97" s="165"/>
      <c r="S97" s="161">
        <v>0</v>
      </c>
      <c r="T97" s="261"/>
      <c r="U97" s="270">
        <f>U96</f>
        <v>0</v>
      </c>
      <c r="V97" s="261"/>
      <c r="W97" s="270">
        <f>W96</f>
        <v>0</v>
      </c>
      <c r="X97" s="261"/>
      <c r="Y97" s="270">
        <f>Y96</f>
        <v>0</v>
      </c>
      <c r="Z97" s="217"/>
      <c r="AA97" s="201">
        <f>AA96</f>
        <v>1760.77</v>
      </c>
      <c r="AB97" s="168"/>
      <c r="AC97" s="51"/>
      <c r="AD97" s="54"/>
      <c r="AE97" s="51"/>
      <c r="AF97" s="52"/>
    </row>
    <row r="98" spans="2:33" s="49" customFormat="1" ht="39.950000000000003" customHeight="1" x14ac:dyDescent="0.25"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6"/>
      <c r="AC98" s="51"/>
      <c r="AD98" s="54"/>
      <c r="AE98" s="51"/>
      <c r="AF98" s="52"/>
    </row>
    <row r="99" spans="2:33" s="49" customFormat="1" ht="39.950000000000003" customHeight="1" x14ac:dyDescent="0.25">
      <c r="B99" s="115">
        <v>12</v>
      </c>
      <c r="C99" s="195"/>
      <c r="D99" s="195"/>
      <c r="E99" s="138" t="s">
        <v>2</v>
      </c>
      <c r="F99" s="139"/>
      <c r="G99" s="140"/>
      <c r="H99" s="141"/>
      <c r="I99" s="141"/>
      <c r="J99" s="140"/>
      <c r="K99" s="142"/>
      <c r="L99" s="143"/>
      <c r="M99" s="142"/>
      <c r="N99" s="139"/>
      <c r="O99" s="141"/>
      <c r="P99" s="139"/>
      <c r="Q99" s="141"/>
      <c r="R99" s="139"/>
      <c r="S99" s="141"/>
      <c r="T99" s="141"/>
      <c r="U99" s="141"/>
      <c r="V99" s="141"/>
      <c r="W99" s="141"/>
      <c r="X99" s="141"/>
      <c r="Y99" s="141"/>
      <c r="Z99" s="215"/>
      <c r="AA99" s="144"/>
      <c r="AB99" s="145"/>
      <c r="AC99" s="51"/>
      <c r="AD99" s="54"/>
      <c r="AE99" s="51"/>
      <c r="AF99" s="52">
        <f>G99-(J99+Z99)</f>
        <v>0</v>
      </c>
    </row>
    <row r="100" spans="2:33" s="53" customFormat="1" ht="39.950000000000003" customHeight="1" x14ac:dyDescent="0.25">
      <c r="B100" s="116" t="s">
        <v>78</v>
      </c>
      <c r="C100" s="198" t="s">
        <v>185</v>
      </c>
      <c r="D100" s="198" t="s">
        <v>235</v>
      </c>
      <c r="E100" s="117" t="s">
        <v>33</v>
      </c>
      <c r="F100" s="172" t="s">
        <v>171</v>
      </c>
      <c r="G100" s="173">
        <v>1</v>
      </c>
      <c r="H100" s="112">
        <v>7555.95</v>
      </c>
      <c r="I100" s="112">
        <f t="shared" si="136"/>
        <v>7555.95</v>
      </c>
      <c r="J100" s="121">
        <f>L100+N100+P100+R100+T100+V100+X100</f>
        <v>1</v>
      </c>
      <c r="K100" s="122">
        <f>M100+O100+Q100+S100+U100+W100+Y100</f>
        <v>7555.95</v>
      </c>
      <c r="L100" s="123"/>
      <c r="M100" s="122">
        <f t="shared" ref="M100" si="141">L100*H100</f>
        <v>0</v>
      </c>
      <c r="N100" s="154"/>
      <c r="O100" s="110">
        <f t="shared" ref="O100" si="142">N100*$H100</f>
        <v>0</v>
      </c>
      <c r="P100" s="251"/>
      <c r="Q100" s="252">
        <f t="shared" ref="Q100" si="143">P100*$H100</f>
        <v>0</v>
      </c>
      <c r="R100" s="124"/>
      <c r="S100" s="158">
        <f t="shared" ref="S100" si="144">R100*$H100</f>
        <v>0</v>
      </c>
      <c r="T100" s="268"/>
      <c r="U100" s="258">
        <f>T100*$H100</f>
        <v>0</v>
      </c>
      <c r="V100" s="268">
        <v>1</v>
      </c>
      <c r="W100" s="258">
        <f>V100*$H100</f>
        <v>7555.95</v>
      </c>
      <c r="X100" s="268"/>
      <c r="Y100" s="258">
        <f>X100*$H100</f>
        <v>0</v>
      </c>
      <c r="Z100" s="125">
        <f>G100-J100</f>
        <v>0</v>
      </c>
      <c r="AA100" s="126">
        <f>Z100*H100</f>
        <v>0</v>
      </c>
      <c r="AB100" s="127">
        <f>IF(I100=0,"",K100/I100)</f>
        <v>1</v>
      </c>
      <c r="AC100" s="51" t="b">
        <f>I100=(K100+AA100)</f>
        <v>1</v>
      </c>
      <c r="AD100" s="54">
        <f>I100-(K100+AA100)</f>
        <v>0</v>
      </c>
      <c r="AE100" s="51" t="b">
        <f>G100=(J100+Z100)</f>
        <v>1</v>
      </c>
      <c r="AF100" s="52">
        <f>G100-(J100+Z100)</f>
        <v>0</v>
      </c>
    </row>
    <row r="101" spans="2:33" s="49" customFormat="1" ht="39.950000000000003" customHeight="1" x14ac:dyDescent="0.25">
      <c r="B101" s="307" t="s">
        <v>237</v>
      </c>
      <c r="C101" s="307"/>
      <c r="D101" s="307"/>
      <c r="E101" s="307"/>
      <c r="F101" s="307"/>
      <c r="G101" s="308"/>
      <c r="H101" s="161"/>
      <c r="I101" s="162">
        <f>I100</f>
        <v>7555.95</v>
      </c>
      <c r="J101" s="162"/>
      <c r="K101" s="270">
        <f>K100</f>
        <v>7555.95</v>
      </c>
      <c r="L101" s="163"/>
      <c r="M101" s="163"/>
      <c r="N101" s="161"/>
      <c r="O101" s="165"/>
      <c r="P101" s="161"/>
      <c r="Q101" s="161">
        <f>Q100</f>
        <v>0</v>
      </c>
      <c r="R101" s="161"/>
      <c r="S101" s="166"/>
      <c r="T101" s="262"/>
      <c r="U101" s="262"/>
      <c r="V101" s="262"/>
      <c r="W101" s="270">
        <f>W100</f>
        <v>7555.95</v>
      </c>
      <c r="X101" s="262"/>
      <c r="Y101" s="262"/>
      <c r="Z101" s="218"/>
      <c r="AA101" s="200">
        <f>AA100</f>
        <v>0</v>
      </c>
      <c r="AB101" s="174"/>
      <c r="AC101" s="51"/>
      <c r="AD101" s="54"/>
      <c r="AE101" s="51"/>
      <c r="AF101" s="52">
        <f>(J101+Z101)</f>
        <v>0</v>
      </c>
    </row>
    <row r="102" spans="2:33" s="49" customFormat="1" ht="14.25" customHeight="1" x14ac:dyDescent="0.25">
      <c r="B102" s="203"/>
      <c r="C102" s="203"/>
      <c r="D102" s="203"/>
      <c r="E102" s="203"/>
      <c r="F102" s="203"/>
      <c r="G102" s="204"/>
      <c r="H102" s="160"/>
      <c r="I102" s="162"/>
      <c r="J102" s="163"/>
      <c r="K102" s="163"/>
      <c r="L102" s="163"/>
      <c r="M102" s="163"/>
      <c r="N102" s="161"/>
      <c r="O102" s="165"/>
      <c r="P102" s="161"/>
      <c r="Q102" s="165"/>
      <c r="R102" s="161"/>
      <c r="S102" s="166"/>
      <c r="T102" s="263"/>
      <c r="U102" s="263"/>
      <c r="V102" s="263"/>
      <c r="W102" s="263"/>
      <c r="X102" s="263"/>
      <c r="Y102" s="263"/>
      <c r="Z102" s="219"/>
      <c r="AA102" s="200"/>
      <c r="AB102" s="174"/>
      <c r="AC102" s="51"/>
      <c r="AD102" s="54"/>
      <c r="AE102" s="51"/>
      <c r="AF102" s="52"/>
    </row>
    <row r="103" spans="2:33" s="49" customFormat="1" ht="39.950000000000003" customHeight="1" x14ac:dyDescent="0.25">
      <c r="B103" s="307" t="s">
        <v>238</v>
      </c>
      <c r="C103" s="307"/>
      <c r="D103" s="307"/>
      <c r="E103" s="307"/>
      <c r="F103" s="307"/>
      <c r="G103" s="308"/>
      <c r="H103" s="160"/>
      <c r="I103" s="162">
        <f>I101+I97+I93+I82+I74+I68+I58+I53+I47+I39+I32+I15</f>
        <v>21954662.420000002</v>
      </c>
      <c r="J103" s="163"/>
      <c r="K103" s="231">
        <f>SUM(K101+K93+K97+K82+K74+K68+K58+K53+K47+K39+K32+K15)</f>
        <v>17102609.91</v>
      </c>
      <c r="L103" s="163"/>
      <c r="M103" s="231">
        <f>SUM(M93+M97+M82+M74+M68+M58+M53+M47+M39+M32+M15)</f>
        <v>1172936.3600000001</v>
      </c>
      <c r="N103" s="161"/>
      <c r="O103" s="231">
        <f>SUM(O101+O93+O97+O82+O74+O68+O58+O53+O47+O39+O32+O15)</f>
        <v>1993700.08</v>
      </c>
      <c r="P103" s="161"/>
      <c r="Q103" s="231">
        <f>SUM(Q101+Q93+Q97+Q82+Q74+Q68+Q58+Q53+Q47+Q39+Q32+Q15)+0.01</f>
        <v>2365938.31</v>
      </c>
      <c r="R103" s="161"/>
      <c r="S103" s="231">
        <f>SUM(S101+S93+S97+S82+S74+S68+S58+S53+S47+S39+S32+S15)+0.01</f>
        <v>2662411.67</v>
      </c>
      <c r="T103" s="273"/>
      <c r="U103" s="231">
        <f>SUM(U101+U93+U97+U82+U74+U68+U58+U53+U47+U39+U32+U15)</f>
        <v>3099386.24</v>
      </c>
      <c r="V103" s="273"/>
      <c r="W103" s="231">
        <f>SUM(W101+W93+W97+W82+W74+W68+W58+W53+W47+W39+W32+W15)</f>
        <v>3211731.69</v>
      </c>
      <c r="X103" s="273"/>
      <c r="Y103" s="231">
        <f>SUM(Y101+Y93+Y97+Y82+Y74+Y68+Y58+Y53+Y47+Y39+Y32+Y15)</f>
        <v>2596505.58</v>
      </c>
      <c r="Z103" s="219" t="s">
        <v>182</v>
      </c>
      <c r="AA103" s="310">
        <f>AA82+AA74+AA68+AA58+AA53+AA47+AA39+AA32+AA15+AA101+AA97+AA93</f>
        <v>4852052.51</v>
      </c>
      <c r="AB103" s="311"/>
      <c r="AC103" s="51"/>
      <c r="AD103" s="54"/>
      <c r="AE103" s="51"/>
      <c r="AF103" s="52"/>
    </row>
    <row r="104" spans="2:33" s="49" customFormat="1" ht="39.950000000000003" customHeight="1" x14ac:dyDescent="0.25">
      <c r="B104" s="175"/>
      <c r="C104" s="175"/>
      <c r="D104" s="175"/>
      <c r="E104" s="175"/>
      <c r="F104" s="175"/>
      <c r="G104" s="176"/>
      <c r="H104" s="176"/>
      <c r="I104" s="177"/>
      <c r="J104" s="178"/>
      <c r="K104" s="179"/>
      <c r="L104" s="178"/>
      <c r="M104" s="180"/>
      <c r="N104" s="176"/>
      <c r="O104" s="180"/>
      <c r="P104" s="176"/>
      <c r="Q104" s="180"/>
      <c r="R104" s="176"/>
      <c r="S104" s="175"/>
      <c r="T104" s="264"/>
      <c r="U104" s="264"/>
      <c r="V104" s="264"/>
      <c r="W104" s="264"/>
      <c r="X104" s="264"/>
      <c r="Y104" s="264"/>
      <c r="Z104" s="220"/>
      <c r="AC104" s="51"/>
      <c r="AD104" s="54"/>
      <c r="AE104" s="51"/>
      <c r="AF104" s="52"/>
    </row>
    <row r="105" spans="2:33" s="49" customFormat="1" ht="39.950000000000003" customHeight="1" x14ac:dyDescent="0.25">
      <c r="B105" s="115">
        <v>13</v>
      </c>
      <c r="C105" s="195"/>
      <c r="D105" s="195"/>
      <c r="E105" s="138" t="s">
        <v>34</v>
      </c>
      <c r="F105" s="139"/>
      <c r="G105" s="140"/>
      <c r="H105" s="141"/>
      <c r="I105" s="141"/>
      <c r="J105" s="140"/>
      <c r="K105" s="142"/>
      <c r="L105" s="143"/>
      <c r="M105" s="142"/>
      <c r="N105" s="139"/>
      <c r="O105" s="141"/>
      <c r="P105" s="139"/>
      <c r="Q105" s="141"/>
      <c r="R105" s="139"/>
      <c r="S105" s="141"/>
      <c r="T105" s="141"/>
      <c r="U105" s="141"/>
      <c r="V105" s="141"/>
      <c r="W105" s="141"/>
      <c r="X105" s="141"/>
      <c r="Y105" s="141"/>
      <c r="Z105" s="215"/>
      <c r="AA105" s="144"/>
      <c r="AB105" s="145"/>
      <c r="AC105" s="51"/>
      <c r="AD105" s="54"/>
      <c r="AE105" s="51"/>
      <c r="AF105" s="52">
        <f>G105-(J105+Z105)</f>
        <v>0</v>
      </c>
    </row>
    <row r="106" spans="2:33" s="53" customFormat="1" ht="76.5" customHeight="1" x14ac:dyDescent="0.25">
      <c r="B106" s="118" t="s">
        <v>29</v>
      </c>
      <c r="C106" s="118"/>
      <c r="D106" s="199" t="s">
        <v>236</v>
      </c>
      <c r="E106" s="117" t="s">
        <v>179</v>
      </c>
      <c r="F106" s="118" t="s">
        <v>180</v>
      </c>
      <c r="G106" s="181">
        <v>1.9800000000000002E-2</v>
      </c>
      <c r="H106" s="112">
        <v>21954662.420000002</v>
      </c>
      <c r="I106" s="112">
        <v>434702.32</v>
      </c>
      <c r="J106" s="121">
        <f>L106+N106+P106+R106+T106+V106+X106</f>
        <v>1.59</v>
      </c>
      <c r="K106" s="122">
        <f>M106+O106+Q106+S106+U106+W106+Y106</f>
        <v>338631.67999999999</v>
      </c>
      <c r="L106" s="125">
        <v>0.11</v>
      </c>
      <c r="M106" s="122">
        <v>23224.14</v>
      </c>
      <c r="N106" s="214">
        <v>0.18</v>
      </c>
      <c r="O106" s="110">
        <v>39475.26</v>
      </c>
      <c r="P106" s="214">
        <v>0.26</v>
      </c>
      <c r="Q106" s="110">
        <v>46845.58</v>
      </c>
      <c r="R106" s="135">
        <v>0.24</v>
      </c>
      <c r="S106" s="240">
        <v>52715.75</v>
      </c>
      <c r="T106" s="271">
        <v>0.28000000000000003</v>
      </c>
      <c r="U106" s="265">
        <v>61367.85</v>
      </c>
      <c r="V106" s="271">
        <v>0.28999999999999998</v>
      </c>
      <c r="W106" s="265">
        <v>63592.29</v>
      </c>
      <c r="X106" s="271">
        <v>0.23</v>
      </c>
      <c r="Y106" s="265">
        <v>51410.81</v>
      </c>
      <c r="Z106" s="125">
        <f>1.98-L106-N106-P106-R106-T106-V106-X106</f>
        <v>0.39</v>
      </c>
      <c r="AA106" s="112">
        <f>I106-K106</f>
        <v>96070.64</v>
      </c>
      <c r="AB106" s="225">
        <f>IF(I106=0,"",K106/I106)</f>
        <v>0.77900000000000003</v>
      </c>
      <c r="AC106" s="51" t="b">
        <f>I106=(K106+AA106)</f>
        <v>1</v>
      </c>
      <c r="AD106" s="54">
        <f>I106-(K106+AA106)</f>
        <v>0</v>
      </c>
      <c r="AE106" s="51"/>
      <c r="AF106" s="52"/>
    </row>
    <row r="107" spans="2:33" s="53" customFormat="1" ht="36" customHeight="1" x14ac:dyDescent="0.25">
      <c r="B107" s="317" t="s">
        <v>239</v>
      </c>
      <c r="C107" s="318"/>
      <c r="D107" s="318"/>
      <c r="E107" s="318"/>
      <c r="F107" s="318"/>
      <c r="G107" s="205"/>
      <c r="H107" s="205"/>
      <c r="I107" s="206">
        <f>SUM(I106)</f>
        <v>434702.32</v>
      </c>
      <c r="J107" s="207"/>
      <c r="K107" s="206">
        <f>K106</f>
        <v>338631.67999999999</v>
      </c>
      <c r="L107" s="208"/>
      <c r="M107" s="209">
        <f>M106</f>
        <v>23224.14</v>
      </c>
      <c r="N107" s="208"/>
      <c r="O107" s="209">
        <f>O106</f>
        <v>39475.26</v>
      </c>
      <c r="P107" s="208"/>
      <c r="Q107" s="209">
        <f>Q106</f>
        <v>46845.58</v>
      </c>
      <c r="R107" s="208"/>
      <c r="S107" s="209">
        <f>S106</f>
        <v>52715.75</v>
      </c>
      <c r="T107" s="266"/>
      <c r="U107" s="266">
        <f>U106</f>
        <v>61367.85</v>
      </c>
      <c r="V107" s="266"/>
      <c r="W107" s="266">
        <f>W106</f>
        <v>63592.29</v>
      </c>
      <c r="X107" s="266"/>
      <c r="Y107" s="266">
        <f>Y106</f>
        <v>51410.81</v>
      </c>
      <c r="Z107" s="208"/>
      <c r="AA107" s="156">
        <f>I107-K107</f>
        <v>96070.64</v>
      </c>
      <c r="AB107" s="238">
        <f>IF(I107=0,"",K107/I107)</f>
        <v>0.77900000000000003</v>
      </c>
      <c r="AC107" s="51"/>
      <c r="AD107" s="54"/>
      <c r="AE107" s="51"/>
      <c r="AF107" s="52"/>
      <c r="AG107" s="276">
        <f>W107*1.2829</f>
        <v>81582.55</v>
      </c>
    </row>
    <row r="108" spans="2:33" s="55" customFormat="1" ht="39.950000000000003" customHeight="1" x14ac:dyDescent="0.3">
      <c r="B108" s="183"/>
      <c r="C108" s="197"/>
      <c r="D108" s="197"/>
      <c r="E108" s="182"/>
      <c r="F108" s="184"/>
      <c r="G108" s="185" t="s">
        <v>105</v>
      </c>
      <c r="H108" s="312">
        <f>I103+I106</f>
        <v>22389364.739999998</v>
      </c>
      <c r="I108" s="312"/>
      <c r="J108" s="121">
        <v>0</v>
      </c>
      <c r="K108" s="186">
        <f>SUM(K107+K103)</f>
        <v>17441241.59</v>
      </c>
      <c r="L108" s="187"/>
      <c r="M108" s="186">
        <f>SUM(M107+M103)</f>
        <v>1196160.5</v>
      </c>
      <c r="N108" s="245"/>
      <c r="O108" s="246">
        <f>SUM(O107+O103)</f>
        <v>2033175.34</v>
      </c>
      <c r="P108" s="245"/>
      <c r="Q108" s="246">
        <f>SUM(Q107+Q103)</f>
        <v>2412783.89</v>
      </c>
      <c r="R108" s="241"/>
      <c r="S108" s="242">
        <f>SUM(S107+S103)</f>
        <v>2715127.42</v>
      </c>
      <c r="T108" s="242"/>
      <c r="U108" s="242">
        <f>SUM(U107+U103)</f>
        <v>3160754.09</v>
      </c>
      <c r="V108" s="242"/>
      <c r="W108" s="242">
        <f>SUM(W107+W103)</f>
        <v>3275323.98</v>
      </c>
      <c r="X108" s="242"/>
      <c r="Y108" s="242">
        <f>SUM(Y107+Y103)</f>
        <v>2647916.39</v>
      </c>
      <c r="Z108" s="221"/>
      <c r="AA108" s="186">
        <f>SUM(AA107+AA101+AA97+AA93+AA82+AA74+AA68+AA58+AA53+AA47+AA39+AA32+AA15)</f>
        <v>4948123.1500000004</v>
      </c>
      <c r="AB108" s="226">
        <f>K108/H108</f>
        <v>0.77900000000000003</v>
      </c>
      <c r="AC108" s="51" t="b">
        <f>H108=(K108+AA108)</f>
        <v>1</v>
      </c>
      <c r="AD108" s="254">
        <f>H108-(K108+AA108)</f>
        <v>0</v>
      </c>
      <c r="AE108" s="51"/>
      <c r="AF108" s="52"/>
    </row>
    <row r="109" spans="2:33" s="55" customFormat="1" ht="39.950000000000003" customHeight="1" x14ac:dyDescent="0.3">
      <c r="B109" s="188"/>
      <c r="C109" s="169"/>
      <c r="D109" s="169"/>
      <c r="E109" s="189"/>
      <c r="F109" s="190"/>
      <c r="G109" s="191" t="s">
        <v>181</v>
      </c>
      <c r="H109" s="312">
        <f>ROUND(H108*0.2829,2)</f>
        <v>6333951.2800000003</v>
      </c>
      <c r="I109" s="312"/>
      <c r="J109" s="121">
        <v>0</v>
      </c>
      <c r="K109" s="274">
        <f>ROUNDDOWN(K108*0.2829,2)</f>
        <v>4934127.24</v>
      </c>
      <c r="L109" s="193"/>
      <c r="M109" s="192">
        <f>ROUNDDOWN(M108*0.2829,2)</f>
        <v>338393.8</v>
      </c>
      <c r="N109" s="247"/>
      <c r="O109" s="248">
        <f>ROUNDDOWN(O108*0.2829,2)</f>
        <v>575185.30000000005</v>
      </c>
      <c r="P109" s="247"/>
      <c r="Q109" s="248">
        <f>ROUNDDOWN(Q108*0.2829,2)</f>
        <v>682576.56</v>
      </c>
      <c r="R109" s="243"/>
      <c r="S109" s="244">
        <f>ROUNDDOWN(S108*0.2829,2)</f>
        <v>768109.54</v>
      </c>
      <c r="T109" s="272"/>
      <c r="U109" s="272">
        <f>ROUNDDOWN(U108*0.2829,2)</f>
        <v>894177.33</v>
      </c>
      <c r="V109" s="272"/>
      <c r="W109" s="272">
        <f>ROUNDDOWN(W108*0.2829,2)</f>
        <v>926589.15</v>
      </c>
      <c r="X109" s="272"/>
      <c r="Y109" s="272">
        <f>ROUNDDOWN(Y108*0.2829,2)</f>
        <v>749095.54</v>
      </c>
      <c r="Z109" s="222"/>
      <c r="AA109" s="192">
        <f>ROUND(AA108*0.2829,2)</f>
        <v>1399824.04</v>
      </c>
      <c r="AB109" s="226">
        <f>K109/H109</f>
        <v>0.77900000000000003</v>
      </c>
      <c r="AC109" s="51" t="b">
        <f>H109=(K109+AA109)</f>
        <v>1</v>
      </c>
      <c r="AD109" s="54">
        <f>H109-(K109+AA109)</f>
        <v>0</v>
      </c>
      <c r="AE109" s="51"/>
      <c r="AF109" s="52"/>
    </row>
    <row r="110" spans="2:33" s="55" customFormat="1" ht="39.950000000000003" customHeight="1" x14ac:dyDescent="0.3">
      <c r="B110" s="188"/>
      <c r="C110" s="169"/>
      <c r="D110" s="169"/>
      <c r="E110" s="189"/>
      <c r="F110" s="190"/>
      <c r="G110" s="191" t="s">
        <v>79</v>
      </c>
      <c r="H110" s="312">
        <f>H108+H109</f>
        <v>28723316.02</v>
      </c>
      <c r="I110" s="312"/>
      <c r="J110" s="121">
        <v>0</v>
      </c>
      <c r="K110" s="186">
        <f>(K109+K108)</f>
        <v>22375368.829999998</v>
      </c>
      <c r="L110" s="187"/>
      <c r="M110" s="187">
        <f>(M109+M108)</f>
        <v>1534554.3</v>
      </c>
      <c r="N110" s="245"/>
      <c r="O110" s="245">
        <f>(O109+O108)</f>
        <v>2608360.64</v>
      </c>
      <c r="P110" s="245"/>
      <c r="Q110" s="245">
        <f>(Q109+Q108)</f>
        <v>3095360.45</v>
      </c>
      <c r="R110" s="241"/>
      <c r="S110" s="241">
        <f>(S109+S108)</f>
        <v>3483236.96</v>
      </c>
      <c r="T110" s="242"/>
      <c r="U110" s="242">
        <f>(U109+U108)</f>
        <v>4054931.42</v>
      </c>
      <c r="V110" s="242"/>
      <c r="W110" s="242">
        <f>(W109+W108)</f>
        <v>4201913.13</v>
      </c>
      <c r="X110" s="242"/>
      <c r="Y110" s="242">
        <f>(Y109+Y108)</f>
        <v>3397011.93</v>
      </c>
      <c r="Z110" s="223"/>
      <c r="AA110" s="187">
        <f>(AA109+AA108)</f>
        <v>6347947.1900000004</v>
      </c>
      <c r="AB110" s="226">
        <f>K110/H110</f>
        <v>0.77900000000000003</v>
      </c>
      <c r="AC110" s="51" t="b">
        <f>H110=(K110+AA110)</f>
        <v>1</v>
      </c>
      <c r="AD110" s="254">
        <f>H110-(K110+AA110)</f>
        <v>0</v>
      </c>
      <c r="AE110" s="51"/>
      <c r="AF110" s="52"/>
    </row>
    <row r="111" spans="2:33" ht="39.950000000000003" customHeight="1" x14ac:dyDescent="0.25">
      <c r="B111" s="12"/>
      <c r="C111" s="12"/>
      <c r="D111" s="12"/>
      <c r="E111" s="11"/>
      <c r="F111" s="13"/>
      <c r="G111" s="14"/>
      <c r="H111" s="15"/>
      <c r="I111" s="16"/>
      <c r="J111" s="17"/>
      <c r="K111" s="18"/>
      <c r="L111" s="18"/>
      <c r="M111" s="18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224"/>
      <c r="AA111" s="19"/>
      <c r="AB111" s="24"/>
      <c r="AD111" s="54"/>
    </row>
    <row r="112" spans="2:33" x14ac:dyDescent="0.25">
      <c r="N112" s="20"/>
      <c r="O112" s="9"/>
      <c r="P112" s="20"/>
      <c r="Q112" s="9"/>
      <c r="R112" s="20"/>
      <c r="S112" s="9"/>
      <c r="T112" s="9"/>
      <c r="U112" s="9"/>
      <c r="V112" s="9"/>
      <c r="W112" s="9"/>
      <c r="X112" s="9"/>
      <c r="Y112" s="9"/>
      <c r="AA112" s="19"/>
    </row>
    <row r="113" spans="2:29" x14ac:dyDescent="0.25">
      <c r="N113" s="20"/>
      <c r="O113" s="9"/>
      <c r="P113" s="20"/>
      <c r="Q113" s="9"/>
      <c r="R113" s="20"/>
      <c r="S113" s="9"/>
      <c r="T113" s="9"/>
      <c r="U113" s="9"/>
      <c r="V113" s="9"/>
      <c r="W113" s="9"/>
      <c r="X113" s="9"/>
      <c r="Y113" s="9"/>
      <c r="AA113" s="19"/>
    </row>
    <row r="114" spans="2:29" ht="18" x14ac:dyDescent="0.25">
      <c r="N114" s="20"/>
      <c r="O114" s="23"/>
      <c r="P114" s="20"/>
      <c r="Q114" s="23"/>
      <c r="R114" s="20"/>
      <c r="S114" s="23"/>
      <c r="T114" s="23"/>
      <c r="U114" s="23"/>
      <c r="V114" s="23"/>
      <c r="W114" s="23"/>
      <c r="X114" s="23"/>
      <c r="Y114" s="23"/>
      <c r="AA114" s="19"/>
    </row>
    <row r="115" spans="2:29" ht="18" x14ac:dyDescent="0.25">
      <c r="N115" s="20"/>
      <c r="O115" s="23"/>
      <c r="P115" s="20"/>
      <c r="Q115" s="23"/>
      <c r="R115" s="20"/>
      <c r="S115" s="23"/>
      <c r="T115" s="23"/>
      <c r="U115" s="23"/>
      <c r="V115" s="23"/>
      <c r="W115" s="23"/>
      <c r="X115" s="23"/>
      <c r="Y115" s="23"/>
      <c r="AA115" s="19"/>
    </row>
    <row r="116" spans="2:29" ht="18" x14ac:dyDescent="0.25">
      <c r="N116" s="20"/>
      <c r="O116" s="23"/>
      <c r="P116" s="20"/>
      <c r="Q116" s="23"/>
      <c r="R116" s="20"/>
      <c r="S116" s="23"/>
      <c r="T116" s="23"/>
      <c r="U116" s="23"/>
      <c r="V116" s="23"/>
      <c r="W116" s="23"/>
      <c r="X116" s="23"/>
      <c r="Y116" s="23"/>
      <c r="AA116" s="19"/>
    </row>
    <row r="117" spans="2:29" ht="18" x14ac:dyDescent="0.25">
      <c r="N117" s="20"/>
      <c r="O117" s="23"/>
      <c r="P117" s="20"/>
      <c r="Q117" s="23"/>
      <c r="R117" s="20"/>
      <c r="S117" s="23"/>
      <c r="T117" s="23"/>
      <c r="U117" s="23"/>
      <c r="V117" s="23"/>
      <c r="W117" s="23"/>
      <c r="X117" s="23"/>
      <c r="Y117" s="23"/>
      <c r="AA117" s="19"/>
    </row>
    <row r="118" spans="2:29" ht="18" x14ac:dyDescent="0.25">
      <c r="N118" s="20"/>
      <c r="O118" s="23"/>
      <c r="P118" s="20"/>
      <c r="Q118" s="23"/>
      <c r="R118" s="20"/>
      <c r="S118" s="23"/>
      <c r="T118" s="23"/>
      <c r="U118" s="23"/>
      <c r="V118" s="23"/>
      <c r="W118" s="23"/>
      <c r="X118" s="23"/>
      <c r="Y118" s="23"/>
      <c r="AA118" s="19"/>
    </row>
    <row r="119" spans="2:29" ht="23.25" x14ac:dyDescent="0.35"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2"/>
    </row>
    <row r="120" spans="2:29" x14ac:dyDescent="0.25">
      <c r="B120" s="40"/>
      <c r="C120" s="40"/>
      <c r="D120" s="40"/>
      <c r="E120" s="41"/>
      <c r="F120" s="42"/>
      <c r="G120" s="43"/>
      <c r="H120" s="44"/>
      <c r="I120" s="44"/>
      <c r="J120" s="43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45"/>
      <c r="AB120" s="46"/>
    </row>
    <row r="121" spans="2:29" x14ac:dyDescent="0.25">
      <c r="B121" s="40"/>
      <c r="C121" s="40"/>
      <c r="D121" s="40"/>
      <c r="E121" s="41"/>
      <c r="F121" s="42"/>
      <c r="G121" s="43"/>
      <c r="H121" s="44"/>
      <c r="I121" s="44"/>
      <c r="J121" s="43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45"/>
      <c r="AB121" s="46"/>
    </row>
    <row r="122" spans="2:29" x14ac:dyDescent="0.25">
      <c r="B122" s="40"/>
      <c r="C122" s="40"/>
      <c r="D122" s="40"/>
      <c r="E122" s="41"/>
      <c r="F122" s="42"/>
      <c r="G122" s="43"/>
      <c r="H122" s="44"/>
      <c r="I122" s="44"/>
      <c r="J122" s="43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45"/>
      <c r="AB122" s="46"/>
    </row>
    <row r="123" spans="2:29" x14ac:dyDescent="0.25">
      <c r="B123" s="40"/>
      <c r="C123" s="40"/>
      <c r="D123" s="40"/>
      <c r="E123" s="41"/>
      <c r="F123" s="42"/>
      <c r="G123" s="43"/>
      <c r="H123" s="44"/>
      <c r="I123" s="44"/>
      <c r="J123" s="43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45"/>
      <c r="AB123" s="46"/>
    </row>
    <row r="124" spans="2:29" x14ac:dyDescent="0.25">
      <c r="B124" s="40"/>
      <c r="C124" s="40"/>
      <c r="D124" s="40"/>
      <c r="E124" s="41"/>
      <c r="F124" s="42"/>
      <c r="G124" s="43"/>
      <c r="H124" s="44"/>
      <c r="I124" s="44"/>
      <c r="J124" s="43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45"/>
      <c r="AB124" s="46"/>
    </row>
    <row r="125" spans="2:29" x14ac:dyDescent="0.25">
      <c r="B125" s="40"/>
      <c r="C125" s="40"/>
      <c r="D125" s="40"/>
      <c r="E125" s="41"/>
      <c r="F125" s="42"/>
      <c r="G125" s="43"/>
      <c r="H125" s="44"/>
      <c r="I125" s="44"/>
      <c r="J125" s="43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47"/>
      <c r="AB125" s="46"/>
    </row>
    <row r="126" spans="2:29" ht="23.25" x14ac:dyDescent="0.35">
      <c r="B126" s="297"/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</row>
    <row r="127" spans="2:29" ht="23.25" x14ac:dyDescent="0.35"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</row>
    <row r="128" spans="2:29" ht="23.25" x14ac:dyDescent="0.35"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</row>
    <row r="129" spans="2:28" ht="23.25" x14ac:dyDescent="0.35"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</row>
    <row r="130" spans="2:28" ht="23.25" x14ac:dyDescent="0.35"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</row>
    <row r="131" spans="2:28" x14ac:dyDescent="0.25">
      <c r="N131" s="20"/>
      <c r="O131" s="9"/>
      <c r="P131" s="20"/>
      <c r="Q131" s="9"/>
      <c r="R131" s="20"/>
      <c r="S131" s="9"/>
      <c r="T131" s="9"/>
      <c r="U131" s="9"/>
      <c r="V131" s="9"/>
      <c r="W131" s="9"/>
      <c r="X131" s="9"/>
      <c r="Y131" s="9"/>
      <c r="AA131" s="21"/>
    </row>
    <row r="132" spans="2:28" x14ac:dyDescent="0.25">
      <c r="N132" s="20"/>
      <c r="O132" s="9"/>
      <c r="P132" s="20"/>
      <c r="Q132" s="9"/>
      <c r="R132" s="20"/>
      <c r="S132" s="9"/>
      <c r="T132" s="9"/>
      <c r="U132" s="9"/>
      <c r="V132" s="9"/>
      <c r="W132" s="9"/>
      <c r="X132" s="9"/>
      <c r="Y132" s="9"/>
      <c r="AA132" s="21"/>
    </row>
    <row r="133" spans="2:28" x14ac:dyDescent="0.25">
      <c r="N133" s="20"/>
      <c r="O133" s="9"/>
      <c r="P133" s="20"/>
      <c r="Q133" s="9"/>
      <c r="R133" s="20"/>
      <c r="S133" s="9"/>
      <c r="T133" s="9"/>
      <c r="U133" s="9"/>
      <c r="V133" s="9"/>
      <c r="W133" s="9"/>
      <c r="X133" s="9"/>
      <c r="Y133" s="9"/>
      <c r="AA133" s="21"/>
    </row>
    <row r="134" spans="2:28" x14ac:dyDescent="0.25">
      <c r="N134" s="20"/>
      <c r="O134" s="9"/>
      <c r="P134" s="20"/>
      <c r="Q134" s="9"/>
      <c r="R134" s="20"/>
      <c r="S134" s="9"/>
      <c r="T134" s="9"/>
      <c r="U134" s="9"/>
      <c r="V134" s="9"/>
      <c r="W134" s="9"/>
      <c r="X134" s="9"/>
      <c r="Y134" s="9"/>
      <c r="AA134" s="21"/>
    </row>
    <row r="135" spans="2:28" x14ac:dyDescent="0.25">
      <c r="N135" s="20"/>
      <c r="O135" s="9"/>
      <c r="P135" s="20"/>
      <c r="Q135" s="9"/>
      <c r="R135" s="20"/>
      <c r="S135" s="9"/>
      <c r="T135" s="9"/>
      <c r="U135" s="9"/>
      <c r="V135" s="9"/>
      <c r="W135" s="9"/>
      <c r="X135" s="9"/>
      <c r="Y135" s="9"/>
      <c r="AA135" s="21"/>
    </row>
  </sheetData>
  <sheetProtection selectLockedCells="1" selectUnlockedCells="1"/>
  <mergeCells count="41">
    <mergeCell ref="B58:G58"/>
    <mergeCell ref="B129:AB129"/>
    <mergeCell ref="C94:AB94"/>
    <mergeCell ref="B98:AB98"/>
    <mergeCell ref="B103:G103"/>
    <mergeCell ref="B93:H93"/>
    <mergeCell ref="B107:F107"/>
    <mergeCell ref="B130:AB130"/>
    <mergeCell ref="B97:G97"/>
    <mergeCell ref="AA103:AB103"/>
    <mergeCell ref="H110:I110"/>
    <mergeCell ref="H109:I109"/>
    <mergeCell ref="H108:I108"/>
    <mergeCell ref="K120:Z120"/>
    <mergeCell ref="K121:Z121"/>
    <mergeCell ref="K122:Z122"/>
    <mergeCell ref="K124:Z124"/>
    <mergeCell ref="B128:AB128"/>
    <mergeCell ref="K125:Z125"/>
    <mergeCell ref="B126:AB126"/>
    <mergeCell ref="B32:G32"/>
    <mergeCell ref="B6:P7"/>
    <mergeCell ref="B15:G15"/>
    <mergeCell ref="B39:G39"/>
    <mergeCell ref="B127:AB127"/>
    <mergeCell ref="K123:Z123"/>
    <mergeCell ref="B119:AB119"/>
    <mergeCell ref="B53:H53"/>
    <mergeCell ref="B68:G68"/>
    <mergeCell ref="B74:G74"/>
    <mergeCell ref="B82:H82"/>
    <mergeCell ref="S6:AB6"/>
    <mergeCell ref="S8:AB8"/>
    <mergeCell ref="E12:AB12"/>
    <mergeCell ref="B101:G101"/>
    <mergeCell ref="B47:G47"/>
    <mergeCell ref="B1:AA1"/>
    <mergeCell ref="B2:AA2"/>
    <mergeCell ref="B4:F4"/>
    <mergeCell ref="I4:J4"/>
    <mergeCell ref="S4:AB4"/>
  </mergeCells>
  <phoneticPr fontId="5" type="noConversion"/>
  <conditionalFormatting sqref="L107:Z107">
    <cfRule type="cellIs" dxfId="7" priority="1" operator="lessThan">
      <formula>0</formula>
    </cfRule>
  </conditionalFormatting>
  <conditionalFormatting sqref="AB1:AB52 AB54:AB93 AB95:AB97 AB99:AB103 AB120:AB125 AB131:AB1048576">
    <cfRule type="cellIs" dxfId="6" priority="25" operator="equal">
      <formula>1</formula>
    </cfRule>
    <cfRule type="cellIs" dxfId="5" priority="26" operator="greaterThan">
      <formula>1</formula>
    </cfRule>
  </conditionalFormatting>
  <conditionalFormatting sqref="AB105:AB118">
    <cfRule type="cellIs" dxfId="4" priority="3" operator="equal">
      <formula>1</formula>
    </cfRule>
    <cfRule type="cellIs" dxfId="3" priority="4" operator="greaterThan">
      <formula>1</formula>
    </cfRule>
  </conditionalFormatting>
  <conditionalFormatting sqref="AB111">
    <cfRule type="cellIs" dxfId="2" priority="12" operator="lessThan">
      <formula>0</formula>
    </cfRule>
  </conditionalFormatting>
  <conditionalFormatting sqref="AC53">
    <cfRule type="cellIs" dxfId="1" priority="10" operator="equal">
      <formula>1</formula>
    </cfRule>
    <cfRule type="cellIs" dxfId="0" priority="11" operator="greaterThan">
      <formula>1</formula>
    </cfRule>
  </conditionalFormatting>
  <printOptions horizontalCentered="1"/>
  <pageMargins left="0.25" right="0.25" top="0.75" bottom="0.75" header="0.3" footer="0.3"/>
  <pageSetup paperSize="9" scale="31" firstPageNumber="0" fitToHeight="0" orientation="landscape" verticalDpi="300" r:id="rId1"/>
  <headerFooter alignWithMargins="0">
    <oddFooter>&amp;R&amp;"Arial,Normal"&amp;20Página &amp;P/&amp;N</oddFooter>
  </headerFooter>
  <rowBreaks count="2" manualBreakCount="2">
    <brk id="39" min="1" max="27" man="1"/>
    <brk id="74" min="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CAPA</vt:lpstr>
      <vt:lpstr>7ª MEDIÇÃO </vt:lpstr>
      <vt:lpstr>'7ª MEDIÇÃO '!Area_de_impressao</vt:lpstr>
      <vt:lpstr>CAPA!Area_de_impressao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Tamires Silva dos Santos</cp:lastModifiedBy>
  <cp:revision>4</cp:revision>
  <cp:lastPrinted>2024-05-21T18:45:45Z</cp:lastPrinted>
  <dcterms:created xsi:type="dcterms:W3CDTF">1997-11-03T10:30:38Z</dcterms:created>
  <dcterms:modified xsi:type="dcterms:W3CDTF">2024-06-13T02:46:34Z</dcterms:modified>
</cp:coreProperties>
</file>